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\lamblv\DATA\Data Lambl\různé\VV\Podpora klubů 2021\"/>
    </mc:Choice>
  </mc:AlternateContent>
  <bookViews>
    <workbookView xWindow="-105" yWindow="-105" windowWidth="23250" windowHeight="12405" tabRatio="815" firstSheet="1" activeTab="1"/>
  </bookViews>
  <sheets>
    <sheet name="body" sheetId="35" state="hidden" r:id="rId1"/>
    <sheet name="rozdělení" sheetId="38" r:id="rId2"/>
    <sheet name="List3" sheetId="42" state="hidden" r:id="rId3"/>
    <sheet name="rozdělení finanční" sheetId="41" state="hidden" r:id="rId4"/>
    <sheet name="List5" sheetId="40" state="hidden" r:id="rId5"/>
    <sheet name="List1" sheetId="36" state="hidden" r:id="rId6"/>
    <sheet name="List4" sheetId="39" state="hidden" r:id="rId7"/>
    <sheet name="List2" sheetId="37" state="hidden" r:id="rId8"/>
  </sheets>
  <definedNames>
    <definedName name="iQFoil_b">body!$BI$1</definedName>
    <definedName name="iQFoil_c">body!$BK$1</definedName>
    <definedName name="Laser">body!$BG$1</definedName>
    <definedName name="Q_trénink">body!$BQ$1</definedName>
    <definedName name="Q_závodní">body!$BO$1</definedName>
    <definedName name="RD">body!$BG$2</definedName>
    <definedName name="RDJ">body!$BI$2</definedName>
    <definedName name="RS_Feva">body!$BM$1</definedName>
    <definedName name="SCM">body!$BK$2</definedName>
    <definedName name="SPS">body!$BM$2</definedName>
    <definedName name="UNI_AA_VERSION" hidden="1">"320.2.2"</definedName>
    <definedName name="UNI_PRES_CLOSEST" hidden="1">512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MRECORD" hidden="1">64</definedName>
    <definedName name="UNI_PRES_POST" hidden="1">256</definedName>
    <definedName name="UNI_PRES_PRIOR" hidden="1">2048</definedName>
    <definedName name="UNI_PRES_RECENT" hidden="1">1024</definedName>
    <definedName name="UNI_PRES_STATIC" hidden="1">128</definedName>
    <definedName name="UNI_PRES_TRANSPOSE" hidden="1">4096</definedName>
    <definedName name="UNI_RET_ATTRIB" hidden="1">64</definedName>
    <definedName name="UNI_RET_CONF" hidden="1">32</definedName>
    <definedName name="UNI_RET_DESC" hidden="1">4</definedName>
    <definedName name="UNI_RET_TAG" hidden="1">1</definedName>
    <definedName name="UNI_RET_TIME" hidden="1">8</definedName>
    <definedName name="UNI_RET_UNIT" hidden="1">2</definedName>
    <definedName name="UNI_RET_VALUE" hidden="1">16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0" i="38" l="1"/>
  <c r="K18" i="38"/>
  <c r="K15" i="38" l="1"/>
  <c r="K9" i="38" l="1"/>
  <c r="K19" i="38"/>
  <c r="K16" i="38" l="1"/>
  <c r="K12" i="38"/>
  <c r="K13" i="38"/>
  <c r="K6" i="38"/>
  <c r="K14" i="38" l="1"/>
  <c r="K10" i="38"/>
  <c r="D36" i="38" l="1"/>
  <c r="D37" i="38"/>
  <c r="D38" i="38"/>
  <c r="D39" i="38"/>
  <c r="D40" i="38"/>
  <c r="D41" i="38"/>
  <c r="K29" i="38" l="1"/>
  <c r="K28" i="38"/>
  <c r="K27" i="38"/>
  <c r="K26" i="38"/>
  <c r="K25" i="38"/>
  <c r="K23" i="38"/>
  <c r="K21" i="38"/>
  <c r="K17" i="38"/>
  <c r="K11" i="38"/>
  <c r="K8" i="38"/>
  <c r="K7" i="38"/>
  <c r="K5" i="38"/>
  <c r="K4" i="38"/>
  <c r="K3" i="38"/>
  <c r="K2" i="38"/>
  <c r="BQ17" i="35"/>
  <c r="BP17" i="35"/>
  <c r="BP16" i="35"/>
  <c r="BQ16" i="35" s="1"/>
  <c r="BP15" i="35"/>
  <c r="BQ15" i="35" s="1"/>
  <c r="BP14" i="35"/>
  <c r="BQ14" i="35" s="1"/>
  <c r="BQ13" i="35"/>
  <c r="BP13" i="35"/>
  <c r="D35" i="38" l="1"/>
  <c r="K3" i="41"/>
  <c r="K4" i="41"/>
  <c r="K5" i="41"/>
  <c r="K6" i="41"/>
  <c r="K7" i="41"/>
  <c r="K8" i="41"/>
  <c r="K9" i="41"/>
  <c r="K10" i="41"/>
  <c r="K11" i="41"/>
  <c r="K12" i="41"/>
  <c r="K13" i="41"/>
  <c r="K14" i="41"/>
  <c r="K15" i="41"/>
  <c r="K16" i="41"/>
  <c r="K17" i="41"/>
  <c r="K18" i="41"/>
  <c r="K19" i="41"/>
  <c r="K20" i="41"/>
  <c r="K21" i="41"/>
  <c r="K22" i="41"/>
  <c r="K23" i="41"/>
  <c r="K24" i="41"/>
  <c r="K25" i="41"/>
  <c r="K26" i="41"/>
  <c r="K27" i="41"/>
  <c r="K28" i="41"/>
  <c r="K29" i="41"/>
  <c r="K30" i="41"/>
  <c r="K31" i="41"/>
  <c r="K2" i="41"/>
  <c r="O6" i="39"/>
  <c r="O17" i="39"/>
  <c r="O21" i="39"/>
  <c r="O22" i="39"/>
  <c r="O7" i="39"/>
  <c r="O15" i="39"/>
  <c r="O23" i="39"/>
  <c r="O5" i="39"/>
  <c r="O8" i="39"/>
  <c r="O24" i="39"/>
  <c r="O18" i="39"/>
  <c r="O25" i="39"/>
  <c r="O26" i="39"/>
  <c r="O12" i="39"/>
  <c r="O27" i="39"/>
  <c r="O28" i="39"/>
  <c r="O20" i="39"/>
  <c r="O29" i="39"/>
  <c r="O9" i="39"/>
  <c r="O10" i="39"/>
  <c r="O4" i="39"/>
  <c r="O11" i="39"/>
  <c r="O13" i="39"/>
  <c r="O30" i="39"/>
  <c r="O31" i="39"/>
  <c r="O2" i="39"/>
  <c r="O19" i="39"/>
  <c r="O14" i="39"/>
  <c r="O16" i="39"/>
  <c r="O3" i="39"/>
  <c r="T2" i="39"/>
  <c r="V2" i="39"/>
  <c r="X2" i="39"/>
  <c r="Z2" i="39"/>
  <c r="AB2" i="39"/>
  <c r="AD2" i="39"/>
  <c r="G42" i="37"/>
  <c r="I42" i="37" s="1"/>
  <c r="C42" i="37"/>
  <c r="D42" i="37" s="1"/>
  <c r="H41" i="37"/>
  <c r="G41" i="37"/>
  <c r="D41" i="37"/>
  <c r="C41" i="37"/>
  <c r="G40" i="37"/>
  <c r="I40" i="37" s="1"/>
  <c r="D40" i="37"/>
  <c r="C40" i="37"/>
  <c r="H39" i="37"/>
  <c r="G39" i="37"/>
  <c r="I39" i="37" s="1"/>
  <c r="C39" i="37"/>
  <c r="D39" i="37" s="1"/>
  <c r="H38" i="37"/>
  <c r="I38" i="37" s="1"/>
  <c r="G38" i="37"/>
  <c r="C38" i="37"/>
  <c r="D38" i="37" s="1"/>
  <c r="H37" i="37"/>
  <c r="G37" i="37"/>
  <c r="I37" i="37" s="1"/>
  <c r="C37" i="37"/>
  <c r="D37" i="37" s="1"/>
  <c r="H36" i="37"/>
  <c r="I36" i="37" s="1"/>
  <c r="G36" i="37"/>
  <c r="C36" i="37"/>
  <c r="D36" i="37" s="1"/>
  <c r="M33" i="36"/>
  <c r="BC4" i="35"/>
  <c r="AO37" i="35"/>
  <c r="AO38" i="35"/>
  <c r="AO39" i="35"/>
  <c r="AO41" i="35"/>
  <c r="AO36" i="35"/>
  <c r="AE37" i="35"/>
  <c r="AE38" i="35"/>
  <c r="AE39" i="35"/>
  <c r="AE41" i="35"/>
  <c r="AE36" i="35"/>
  <c r="AN37" i="35"/>
  <c r="AN38" i="35"/>
  <c r="AN39" i="35"/>
  <c r="AN40" i="35"/>
  <c r="AP40" i="35" s="1"/>
  <c r="AN41" i="35"/>
  <c r="AN42" i="35"/>
  <c r="AP42" i="35" s="1"/>
  <c r="AN36" i="35"/>
  <c r="AJ37" i="35"/>
  <c r="AK37" i="35" s="1"/>
  <c r="AJ38" i="35"/>
  <c r="AK38" i="35" s="1"/>
  <c r="AJ39" i="35"/>
  <c r="AK39" i="35" s="1"/>
  <c r="AJ40" i="35"/>
  <c r="AK40" i="35" s="1"/>
  <c r="AJ41" i="35"/>
  <c r="AK41" i="35" s="1"/>
  <c r="AJ42" i="35"/>
  <c r="AK42" i="35" s="1"/>
  <c r="AJ36" i="35"/>
  <c r="AK36" i="35" s="1"/>
  <c r="I41" i="37" l="1"/>
  <c r="AP39" i="35"/>
  <c r="AP41" i="35"/>
  <c r="AP37" i="35"/>
  <c r="AP36" i="35"/>
  <c r="AE43" i="35"/>
  <c r="AP38" i="35"/>
  <c r="BE26" i="35"/>
  <c r="BE15" i="35"/>
  <c r="BE6" i="35"/>
  <c r="BE25" i="35"/>
  <c r="BE11" i="35"/>
  <c r="BE9" i="35"/>
  <c r="BQ1" i="35"/>
  <c r="BE20" i="35" s="1"/>
  <c r="BO1" i="35"/>
  <c r="BE17" i="35" s="1"/>
  <c r="BM1" i="35"/>
  <c r="BK1" i="35"/>
  <c r="BI1" i="35"/>
  <c r="BE18" i="35" s="1"/>
  <c r="BG1" i="35"/>
  <c r="BE3" i="35" s="1"/>
  <c r="AG7" i="35" l="1"/>
  <c r="AG11" i="35"/>
  <c r="AG15" i="35"/>
  <c r="BD15" i="35" s="1"/>
  <c r="AG19" i="35"/>
  <c r="BD19" i="35" s="1"/>
  <c r="AG23" i="35"/>
  <c r="BD23" i="35" s="1"/>
  <c r="AG27" i="35"/>
  <c r="BD27" i="35" s="1"/>
  <c r="AG31" i="35"/>
  <c r="AG4" i="35"/>
  <c r="BD4" i="35" s="1"/>
  <c r="AG8" i="35"/>
  <c r="AG12" i="35"/>
  <c r="AG16" i="35"/>
  <c r="BD16" i="35" s="1"/>
  <c r="AG20" i="35"/>
  <c r="AG24" i="35"/>
  <c r="AG28" i="35"/>
  <c r="AG32" i="35"/>
  <c r="AG6" i="35"/>
  <c r="BD6" i="35" s="1"/>
  <c r="AG10" i="35"/>
  <c r="BD10" i="35" s="1"/>
  <c r="AG14" i="35"/>
  <c r="BD14" i="35" s="1"/>
  <c r="AG18" i="35"/>
  <c r="AG22" i="35"/>
  <c r="BD22" i="35" s="1"/>
  <c r="AG26" i="35"/>
  <c r="BD26" i="35" s="1"/>
  <c r="AG30" i="35"/>
  <c r="BD30" i="35" s="1"/>
  <c r="AG3" i="35"/>
  <c r="AG5" i="35"/>
  <c r="BD5" i="35" s="1"/>
  <c r="AG9" i="35"/>
  <c r="AG13" i="35"/>
  <c r="BD13" i="35" s="1"/>
  <c r="AG17" i="35"/>
  <c r="AG21" i="35"/>
  <c r="BD21" i="35" s="1"/>
  <c r="AG25" i="35"/>
  <c r="AG29" i="35"/>
  <c r="BD29" i="35" s="1"/>
  <c r="AG33" i="35"/>
  <c r="BD33" i="35" s="1"/>
  <c r="BE28" i="35"/>
  <c r="BE16" i="35"/>
  <c r="BE22" i="35"/>
  <c r="BE7" i="35"/>
  <c r="BE12" i="35"/>
  <c r="BE23" i="35"/>
  <c r="BE29" i="35"/>
  <c r="BC3" i="35"/>
  <c r="BD3" i="35" s="1"/>
  <c r="BE13" i="35"/>
  <c r="BC22" i="35"/>
  <c r="BC20" i="35"/>
  <c r="BC12" i="35"/>
  <c r="BD12" i="35" s="1"/>
  <c r="BC7" i="35"/>
  <c r="BD7" i="35" s="1"/>
  <c r="BC17" i="35"/>
  <c r="BC24" i="35"/>
  <c r="BD24" i="35" s="1"/>
  <c r="BE21" i="35"/>
  <c r="BE4" i="35"/>
  <c r="BC28" i="35"/>
  <c r="BC18" i="35"/>
  <c r="BC25" i="35"/>
  <c r="BE10" i="35"/>
  <c r="BE27" i="35"/>
  <c r="BC11" i="35"/>
  <c r="BC8" i="35"/>
  <c r="BC9" i="35"/>
  <c r="BE8" i="35"/>
  <c r="BE19" i="35"/>
  <c r="BE5" i="35"/>
  <c r="BE14" i="35"/>
  <c r="BE24" i="35"/>
  <c r="BD20" i="35" l="1"/>
  <c r="BD17" i="35"/>
  <c r="BD8" i="35"/>
</calcChain>
</file>

<file path=xl/sharedStrings.xml><?xml version="1.0" encoding="utf-8"?>
<sst xmlns="http://schemas.openxmlformats.org/spreadsheetml/2006/main" count="1311" uniqueCount="143">
  <si>
    <t>tréninkový optimist</t>
  </si>
  <si>
    <t>RS Feva</t>
  </si>
  <si>
    <t>Laser starý</t>
  </si>
  <si>
    <t>nový optimist</t>
  </si>
  <si>
    <t>Laser</t>
  </si>
  <si>
    <t>Tréninkový optimist</t>
  </si>
  <si>
    <t>Závodní optimist</t>
  </si>
  <si>
    <t>29er</t>
  </si>
  <si>
    <t>Lanškroun</t>
  </si>
  <si>
    <t>závodní Optimist</t>
  </si>
  <si>
    <t>Neratovice</t>
  </si>
  <si>
    <t>JK Plzeň</t>
  </si>
  <si>
    <t>závodní optimist</t>
  </si>
  <si>
    <t>Rs Feva</t>
  </si>
  <si>
    <t>závodní loď Q, Laser</t>
  </si>
  <si>
    <t>Bic Techno 293</t>
  </si>
  <si>
    <t>IQ Foil</t>
  </si>
  <si>
    <t>Laser 4,7</t>
  </si>
  <si>
    <t>Závodní Q 5x, Tréninkový Q 10x, Laser4,7 2x</t>
  </si>
  <si>
    <t>nový plovák Techno 293</t>
  </si>
  <si>
    <t>ojetý optimist</t>
  </si>
  <si>
    <t>Laser 2x</t>
  </si>
  <si>
    <t>Bic Techno</t>
  </si>
  <si>
    <t>TJ Lokomotiva Plzeň</t>
  </si>
  <si>
    <t>Feva</t>
  </si>
  <si>
    <t>tréningový optimist</t>
  </si>
  <si>
    <t>29er, Laser</t>
  </si>
  <si>
    <t>TJ Rapid Brno</t>
  </si>
  <si>
    <t>4 x IQ foil a 4 x Bic Techno</t>
  </si>
  <si>
    <t>-</t>
  </si>
  <si>
    <t>29 er</t>
  </si>
  <si>
    <t>Laser, treningový s Radial sadou  jeden kus</t>
  </si>
  <si>
    <t>Kite vybavení</t>
  </si>
  <si>
    <t>laser</t>
  </si>
  <si>
    <t xml:space="preserve">tréninkový optimist  </t>
  </si>
  <si>
    <t xml:space="preserve">tréninkový optimist </t>
  </si>
  <si>
    <t xml:space="preserve">Závodní Optimist </t>
  </si>
  <si>
    <t xml:space="preserve">Tréningový optimist </t>
  </si>
  <si>
    <t xml:space="preserve">RS Feva </t>
  </si>
  <si>
    <t xml:space="preserve">závodní Optimist </t>
  </si>
  <si>
    <t xml:space="preserve"> 29er</t>
  </si>
  <si>
    <t>Závodní Optimist</t>
  </si>
  <si>
    <t>iQ Foil</t>
  </si>
  <si>
    <t>Dářko</t>
  </si>
  <si>
    <t>DIM</t>
  </si>
  <si>
    <t>CERE</t>
  </si>
  <si>
    <t>YCLS Brno</t>
  </si>
  <si>
    <t>JK Cheb</t>
  </si>
  <si>
    <t>Loko Cheb</t>
  </si>
  <si>
    <t>Duchcov</t>
  </si>
  <si>
    <t>JK Brno</t>
  </si>
  <si>
    <t>Jablonec</t>
  </si>
  <si>
    <t>JMJ</t>
  </si>
  <si>
    <t>Prostějov</t>
  </si>
  <si>
    <t>Pardubice</t>
  </si>
  <si>
    <t>TJ Loko Plzeň</t>
  </si>
  <si>
    <t>Roudnice</t>
  </si>
  <si>
    <t>Palkovice</t>
  </si>
  <si>
    <t>Štětí</t>
  </si>
  <si>
    <t>Toušeň</t>
  </si>
  <si>
    <t>Sokolov</t>
  </si>
  <si>
    <t>Vysoké Mýto</t>
  </si>
  <si>
    <t>Baník Most</t>
  </si>
  <si>
    <t>Česká Lípa</t>
  </si>
  <si>
    <t>Jestřábí</t>
  </si>
  <si>
    <t>YC Dyje</t>
  </si>
  <si>
    <t>Kroměříž</t>
  </si>
  <si>
    <t>Tréningový Q</t>
  </si>
  <si>
    <t xml:space="preserve">loď RS Feva, </t>
  </si>
  <si>
    <t>ČYK</t>
  </si>
  <si>
    <t>klub</t>
  </si>
  <si>
    <t>body</t>
  </si>
  <si>
    <t>pořadí</t>
  </si>
  <si>
    <t>DRAFT</t>
  </si>
  <si>
    <t>1. kolo</t>
  </si>
  <si>
    <t>2. kolo</t>
  </si>
  <si>
    <t>3. kolo</t>
  </si>
  <si>
    <t>4. kolo</t>
  </si>
  <si>
    <t>5. kolo</t>
  </si>
  <si>
    <t>6. kolo</t>
  </si>
  <si>
    <t>7. kolo</t>
  </si>
  <si>
    <t>8. kolo</t>
  </si>
  <si>
    <t>9. kolo</t>
  </si>
  <si>
    <t>10. kolo</t>
  </si>
  <si>
    <t>CHTĚJÍ</t>
  </si>
  <si>
    <t>materiál</t>
  </si>
  <si>
    <t>počet celkový</t>
  </si>
  <si>
    <t>počet přidělený</t>
  </si>
  <si>
    <t>počet zbývá</t>
  </si>
  <si>
    <t>Optimist závodní</t>
  </si>
  <si>
    <t>Optimist tréningový</t>
  </si>
  <si>
    <t>BIC Techno</t>
  </si>
  <si>
    <t>poptávka</t>
  </si>
  <si>
    <t>suma kola</t>
  </si>
  <si>
    <t>Doksy</t>
  </si>
  <si>
    <t>Laser:</t>
  </si>
  <si>
    <t>RS Feva:</t>
  </si>
  <si>
    <t>Q závodní:</t>
  </si>
  <si>
    <t>Q trénink:</t>
  </si>
  <si>
    <t>RD:</t>
  </si>
  <si>
    <t>RDJ:</t>
  </si>
  <si>
    <t>SCM:</t>
  </si>
  <si>
    <t>SPS:</t>
  </si>
  <si>
    <t>iQFoil b:</t>
  </si>
  <si>
    <t>iQFoil c:</t>
  </si>
  <si>
    <t>Laser: RD Teplý, SCM Kališová</t>
  </si>
  <si>
    <t>Laser: SCM Rais</t>
  </si>
  <si>
    <t>Laser: SCM Vysloužil</t>
  </si>
  <si>
    <t>iQFoil: RD Švíková; SCM Švíková Barbora</t>
  </si>
  <si>
    <t>iQFoil: SCM Adam Neveloš; SPS Říčanová, Tibor Neveloš</t>
  </si>
  <si>
    <t>iQFoil: SCM Drda, Sadílková; SPS Štěpánková, Lojínová, Hasman</t>
  </si>
  <si>
    <t>iQFoil: SCM Chalupníková, Piňosová; SPS Skřepek</t>
  </si>
  <si>
    <t>iQFoil: SCM Altmanová</t>
  </si>
  <si>
    <t>Q: Čaganová</t>
  </si>
  <si>
    <t>Q: Valenta</t>
  </si>
  <si>
    <t>Q: Klíma</t>
  </si>
  <si>
    <t>Q: Přikryl</t>
  </si>
  <si>
    <t>Q: Ráža</t>
  </si>
  <si>
    <t>Q: Tomeš, Kraus</t>
  </si>
  <si>
    <t>Q: (Klíma) Jáchym</t>
  </si>
  <si>
    <t>PODPORA</t>
  </si>
  <si>
    <t>Předdraft, dle trenérů a ALT</t>
  </si>
  <si>
    <t>PODPORA předdraft</t>
  </si>
  <si>
    <t>předdraft</t>
  </si>
  <si>
    <t>nárok</t>
  </si>
  <si>
    <t>nárok po předdraftu</t>
  </si>
  <si>
    <t>celkem</t>
  </si>
  <si>
    <t>zbývá</t>
  </si>
  <si>
    <t>Předdraft</t>
  </si>
  <si>
    <t>91386:</t>
  </si>
  <si>
    <t>113133:</t>
  </si>
  <si>
    <t>celková podpora</t>
  </si>
  <si>
    <t>3.kolo</t>
  </si>
  <si>
    <t>nárok po předraftu</t>
  </si>
  <si>
    <t>suma</t>
  </si>
  <si>
    <t>Q závodní</t>
  </si>
  <si>
    <t>Q tréningový</t>
  </si>
  <si>
    <t>20% ceny</t>
  </si>
  <si>
    <t>100% cenx</t>
  </si>
  <si>
    <t>20 % ceny</t>
  </si>
  <si>
    <t>100 % ceny</t>
  </si>
  <si>
    <t>potvrdili</t>
  </si>
  <si>
    <t>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</si>
</sst>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\ &quot;Kč&quot;_-;\-* #,##0.00\ &quot;Kč&quot;_-;_-* &quot;-&quot;??\ &quot;Kč&quot;_-;_-@_-"/>
    <numFmt numFmtId="164" formatCode="[$-405]General"/>
    <numFmt numFmtId="165" formatCode="_-* #,##0\ &quot;Kč&quot;_-;\-* #,##0\ &quot;Kč&quot;_-;_-* &quot;-&quot;??\ &quot;Kč&quot;_-;_-@_-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164" fontId="2" fillId="0" borderId="0"/>
    <xf numFmtId="44" fontId="3" fillId="0" borderId="0" applyFont="0" applyFill="0" applyBorder="0" applyAlignment="0" applyProtection="0"/>
  </cellStyleXfs>
  <cellXfs count="26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  <xf numFmtId="0" fontId="1" fillId="0" borderId="5" xfId="0" applyFont="1" applyBorder="1"/>
    <xf numFmtId="0" fontId="1" fillId="0" borderId="5" xfId="0" applyFont="1" applyBorder="1" applyAlignment="1">
      <alignment wrapText="1"/>
    </xf>
    <xf numFmtId="0" fontId="0" fillId="0" borderId="5" xfId="0" applyBorder="1"/>
    <xf numFmtId="0" fontId="0" fillId="0" borderId="5" xfId="0" applyBorder="1" applyAlignment="1">
      <alignment wrapText="1"/>
    </xf>
    <xf numFmtId="0" fontId="0" fillId="4" borderId="5" xfId="0" applyFill="1" applyBorder="1"/>
    <xf numFmtId="0" fontId="0" fillId="4" borderId="5" xfId="0" applyFill="1" applyBorder="1" applyAlignment="1">
      <alignment wrapText="1"/>
    </xf>
    <xf numFmtId="49" fontId="0" fillId="4" borderId="5" xfId="0" applyNumberFormat="1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1" fillId="0" borderId="5" xfId="0" applyFont="1" applyFill="1" applyBorder="1" applyAlignment="1">
      <alignment wrapText="1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3" xfId="0" applyFont="1" applyBorder="1"/>
    <xf numFmtId="0" fontId="1" fillId="0" borderId="4" xfId="0" applyFont="1" applyBorder="1" applyAlignment="1">
      <alignment wrapText="1"/>
    </xf>
    <xf numFmtId="0" fontId="0" fillId="0" borderId="6" xfId="0" applyBorder="1"/>
    <xf numFmtId="0" fontId="0" fillId="0" borderId="12" xfId="0" applyBorder="1"/>
    <xf numFmtId="0" fontId="0" fillId="0" borderId="8" xfId="0" applyBorder="1"/>
    <xf numFmtId="0" fontId="1" fillId="0" borderId="14" xfId="0" applyFont="1" applyBorder="1"/>
    <xf numFmtId="0" fontId="1" fillId="0" borderId="15" xfId="0" applyFont="1" applyBorder="1"/>
    <xf numFmtId="0" fontId="1" fillId="0" borderId="1" xfId="0" applyFont="1" applyBorder="1"/>
    <xf numFmtId="0" fontId="1" fillId="0" borderId="6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/>
    <xf numFmtId="0" fontId="0" fillId="0" borderId="1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9" borderId="5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1" fillId="5" borderId="5" xfId="0" applyFont="1" applyFill="1" applyBorder="1" applyAlignment="1">
      <alignment wrapText="1"/>
    </xf>
    <xf numFmtId="0" fontId="1" fillId="7" borderId="5" xfId="0" applyFont="1" applyFill="1" applyBorder="1" applyAlignment="1">
      <alignment wrapText="1"/>
    </xf>
    <xf numFmtId="0" fontId="1" fillId="8" borderId="5" xfId="0" applyFont="1" applyFill="1" applyBorder="1" applyAlignment="1">
      <alignment wrapText="1"/>
    </xf>
    <xf numFmtId="0" fontId="1" fillId="6" borderId="5" xfId="0" applyFont="1" applyFill="1" applyBorder="1" applyAlignment="1">
      <alignment wrapText="1"/>
    </xf>
    <xf numFmtId="0" fontId="1" fillId="3" borderId="5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9" borderId="8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1" fillId="9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49" fontId="0" fillId="0" borderId="9" xfId="0" applyNumberForma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6" xfId="0" applyBorder="1"/>
    <xf numFmtId="0" fontId="1" fillId="9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1" fillId="5" borderId="3" xfId="0" applyFont="1" applyFill="1" applyBorder="1" applyAlignment="1">
      <alignment wrapText="1"/>
    </xf>
    <xf numFmtId="0" fontId="1" fillId="7" borderId="3" xfId="0" applyFont="1" applyFill="1" applyBorder="1" applyAlignment="1">
      <alignment wrapText="1"/>
    </xf>
    <xf numFmtId="0" fontId="1" fillId="8" borderId="3" xfId="0" applyFont="1" applyFill="1" applyBorder="1" applyAlignment="1">
      <alignment wrapText="1"/>
    </xf>
    <xf numFmtId="0" fontId="1" fillId="6" borderId="4" xfId="0" applyFont="1" applyFill="1" applyBorder="1" applyAlignment="1">
      <alignment wrapText="1"/>
    </xf>
    <xf numFmtId="0" fontId="0" fillId="0" borderId="14" xfId="0" applyBorder="1"/>
    <xf numFmtId="0" fontId="0" fillId="0" borderId="17" xfId="0" applyBorder="1"/>
    <xf numFmtId="0" fontId="0" fillId="0" borderId="15" xfId="0" applyBorder="1"/>
    <xf numFmtId="0" fontId="1" fillId="0" borderId="18" xfId="0" applyFont="1" applyBorder="1"/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/>
    </xf>
    <xf numFmtId="44" fontId="0" fillId="0" borderId="0" xfId="2" applyFont="1"/>
    <xf numFmtId="44" fontId="1" fillId="0" borderId="19" xfId="2" applyFont="1" applyFill="1" applyBorder="1"/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0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/>
    </xf>
    <xf numFmtId="0" fontId="1" fillId="5" borderId="16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49" fontId="0" fillId="0" borderId="16" xfId="0" applyNumberFormat="1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23" xfId="0" applyBorder="1"/>
    <xf numFmtId="0" fontId="1" fillId="9" borderId="24" xfId="0" applyFont="1" applyFill="1" applyBorder="1" applyAlignment="1">
      <alignment wrapText="1"/>
    </xf>
    <xf numFmtId="0" fontId="1" fillId="2" borderId="25" xfId="0" applyFont="1" applyFill="1" applyBorder="1" applyAlignment="1">
      <alignment wrapText="1"/>
    </xf>
    <xf numFmtId="0" fontId="1" fillId="3" borderId="25" xfId="0" applyFont="1" applyFill="1" applyBorder="1" applyAlignment="1">
      <alignment wrapText="1"/>
    </xf>
    <xf numFmtId="0" fontId="1" fillId="5" borderId="25" xfId="0" applyFont="1" applyFill="1" applyBorder="1" applyAlignment="1">
      <alignment wrapText="1"/>
    </xf>
    <xf numFmtId="0" fontId="1" fillId="7" borderId="25" xfId="0" applyFont="1" applyFill="1" applyBorder="1" applyAlignment="1">
      <alignment wrapText="1"/>
    </xf>
    <xf numFmtId="0" fontId="1" fillId="8" borderId="25" xfId="0" applyFont="1" applyFill="1" applyBorder="1" applyAlignment="1">
      <alignment wrapText="1"/>
    </xf>
    <xf numFmtId="0" fontId="1" fillId="6" borderId="26" xfId="0" applyFont="1" applyFill="1" applyBorder="1" applyAlignment="1">
      <alignment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19" xfId="0" applyFont="1" applyBorder="1"/>
    <xf numFmtId="0" fontId="0" fillId="0" borderId="0" xfId="0" applyBorder="1"/>
    <xf numFmtId="44" fontId="0" fillId="0" borderId="0" xfId="2" applyFont="1" applyBorder="1" applyAlignment="1">
      <alignment horizontal="center"/>
    </xf>
    <xf numFmtId="165" fontId="0" fillId="0" borderId="0" xfId="2" applyNumberFormat="1" applyFont="1"/>
    <xf numFmtId="165" fontId="0" fillId="0" borderId="0" xfId="0" applyNumberFormat="1"/>
    <xf numFmtId="0" fontId="1" fillId="0" borderId="29" xfId="0" applyFont="1" applyBorder="1"/>
    <xf numFmtId="0" fontId="1" fillId="0" borderId="31" xfId="0" applyFont="1" applyFill="1" applyBorder="1"/>
    <xf numFmtId="165" fontId="1" fillId="0" borderId="2" xfId="2" applyNumberFormat="1" applyFont="1" applyBorder="1"/>
    <xf numFmtId="165" fontId="1" fillId="0" borderId="3" xfId="2" applyNumberFormat="1" applyFont="1" applyBorder="1"/>
    <xf numFmtId="165" fontId="1" fillId="0" borderId="4" xfId="2" applyNumberFormat="1" applyFont="1" applyBorder="1"/>
    <xf numFmtId="0" fontId="1" fillId="7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wrapText="1"/>
    </xf>
    <xf numFmtId="0" fontId="1" fillId="7" borderId="12" xfId="0" applyFont="1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/>
    </xf>
    <xf numFmtId="49" fontId="0" fillId="0" borderId="22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1" fillId="9" borderId="16" xfId="0" applyFont="1" applyFill="1" applyBorder="1" applyAlignment="1">
      <alignment wrapText="1"/>
    </xf>
    <xf numFmtId="49" fontId="0" fillId="0" borderId="5" xfId="0" applyNumberForma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wrapText="1"/>
    </xf>
    <xf numFmtId="0" fontId="1" fillId="9" borderId="6" xfId="0" applyFont="1" applyFill="1" applyBorder="1" applyAlignment="1">
      <alignment wrapText="1"/>
    </xf>
    <xf numFmtId="0" fontId="1" fillId="8" borderId="0" xfId="0" applyFont="1" applyFill="1" applyBorder="1" applyAlignment="1">
      <alignment wrapText="1"/>
    </xf>
    <xf numFmtId="0" fontId="1" fillId="8" borderId="16" xfId="0" applyFont="1" applyFill="1" applyBorder="1" applyAlignment="1">
      <alignment wrapText="1"/>
    </xf>
    <xf numFmtId="0" fontId="1" fillId="9" borderId="22" xfId="0" applyFont="1" applyFill="1" applyBorder="1" applyAlignment="1">
      <alignment wrapText="1"/>
    </xf>
    <xf numFmtId="0" fontId="1" fillId="8" borderId="22" xfId="0" applyFont="1" applyFill="1" applyBorder="1" applyAlignment="1">
      <alignment wrapText="1"/>
    </xf>
    <xf numFmtId="0" fontId="1" fillId="5" borderId="22" xfId="0" applyFont="1" applyFill="1" applyBorder="1" applyAlignment="1">
      <alignment wrapText="1"/>
    </xf>
    <xf numFmtId="0" fontId="1" fillId="5" borderId="0" xfId="0" applyFont="1" applyFill="1" applyBorder="1" applyAlignment="1">
      <alignment wrapText="1"/>
    </xf>
    <xf numFmtId="0" fontId="1" fillId="0" borderId="22" xfId="0" applyFont="1" applyFill="1" applyBorder="1" applyAlignment="1">
      <alignment wrapText="1"/>
    </xf>
    <xf numFmtId="0" fontId="1" fillId="0" borderId="28" xfId="0" applyFont="1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44" fontId="0" fillId="0" borderId="0" xfId="0" applyNumberFormat="1"/>
    <xf numFmtId="0" fontId="1" fillId="0" borderId="8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wrapText="1"/>
    </xf>
    <xf numFmtId="0" fontId="1" fillId="3" borderId="16" xfId="0" applyFont="1" applyFill="1" applyBorder="1" applyAlignment="1">
      <alignment horizontal="center" vertical="center" wrapText="1"/>
    </xf>
    <xf numFmtId="0" fontId="1" fillId="9" borderId="8" xfId="0" applyFont="1" applyFill="1" applyBorder="1" applyAlignment="1">
      <alignment wrapText="1"/>
    </xf>
    <xf numFmtId="0" fontId="1" fillId="5" borderId="20" xfId="0" applyFont="1" applyFill="1" applyBorder="1" applyAlignment="1">
      <alignment wrapText="1"/>
    </xf>
    <xf numFmtId="0" fontId="0" fillId="0" borderId="28" xfId="0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6" xfId="0" applyFill="1" applyBorder="1" applyAlignment="1">
      <alignment horizontal="center" vertical="center" wrapText="1"/>
    </xf>
    <xf numFmtId="0" fontId="1" fillId="0" borderId="17" xfId="0" applyFont="1" applyBorder="1"/>
    <xf numFmtId="0" fontId="0" fillId="0" borderId="8" xfId="0" applyFill="1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8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4" fontId="0" fillId="0" borderId="2" xfId="2" applyFont="1" applyBorder="1" applyAlignment="1">
      <alignment vertical="center"/>
    </xf>
    <xf numFmtId="44" fontId="0" fillId="0" borderId="3" xfId="2" applyFont="1" applyBorder="1" applyAlignment="1">
      <alignment vertical="center"/>
    </xf>
    <xf numFmtId="44" fontId="0" fillId="0" borderId="4" xfId="2" applyFont="1" applyBorder="1" applyAlignment="1">
      <alignment vertical="center"/>
    </xf>
    <xf numFmtId="9" fontId="0" fillId="0" borderId="0" xfId="0" applyNumberFormat="1"/>
    <xf numFmtId="0" fontId="1" fillId="0" borderId="0" xfId="0" applyFont="1" applyFill="1" applyBorder="1"/>
    <xf numFmtId="0" fontId="1" fillId="8" borderId="8" xfId="0" applyFont="1" applyFill="1" applyBorder="1" applyAlignment="1">
      <alignment horizontal="center" vertical="center"/>
    </xf>
    <xf numFmtId="44" fontId="1" fillId="8" borderId="9" xfId="2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44" fontId="1" fillId="5" borderId="9" xfId="2" applyFont="1" applyFill="1" applyBorder="1" applyAlignment="1">
      <alignment horizontal="center" vertical="center"/>
    </xf>
    <xf numFmtId="0" fontId="1" fillId="9" borderId="8" xfId="0" applyFont="1" applyFill="1" applyBorder="1" applyAlignment="1">
      <alignment horizontal="center" vertical="center"/>
    </xf>
    <xf numFmtId="44" fontId="1" fillId="9" borderId="9" xfId="2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4" fontId="1" fillId="2" borderId="11" xfId="2" applyFont="1" applyFill="1" applyBorder="1" applyAlignment="1">
      <alignment horizontal="center" vertical="center"/>
    </xf>
    <xf numFmtId="0" fontId="1" fillId="0" borderId="35" xfId="0" applyFont="1" applyBorder="1"/>
    <xf numFmtId="0" fontId="1" fillId="0" borderId="36" xfId="0" applyFont="1" applyBorder="1"/>
    <xf numFmtId="0" fontId="1" fillId="0" borderId="37" xfId="0" applyFont="1" applyBorder="1"/>
    <xf numFmtId="0" fontId="1" fillId="0" borderId="38" xfId="0" applyFont="1" applyBorder="1"/>
    <xf numFmtId="0" fontId="0" fillId="0" borderId="40" xfId="0" applyFill="1" applyBorder="1" applyAlignment="1">
      <alignment horizontal="center" vertical="center" wrapText="1"/>
    </xf>
    <xf numFmtId="0" fontId="0" fillId="0" borderId="41" xfId="0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44" fontId="0" fillId="0" borderId="43" xfId="2" applyFont="1" applyBorder="1"/>
    <xf numFmtId="0" fontId="0" fillId="0" borderId="14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44" xfId="0" applyFont="1" applyFill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9" borderId="17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1" fillId="9" borderId="14" xfId="0" applyFont="1" applyFill="1" applyBorder="1" applyAlignment="1">
      <alignment horizontal="center" vertical="center" wrapText="1"/>
    </xf>
    <xf numFmtId="0" fontId="1" fillId="8" borderId="17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8" borderId="14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49" fontId="0" fillId="0" borderId="14" xfId="0" applyNumberFormat="1" applyFill="1" applyBorder="1" applyAlignment="1">
      <alignment horizontal="center" vertical="center" wrapText="1"/>
    </xf>
    <xf numFmtId="49" fontId="0" fillId="0" borderId="17" xfId="0" applyNumberFormat="1" applyFill="1" applyBorder="1" applyAlignment="1">
      <alignment horizontal="center" vertical="center" wrapText="1"/>
    </xf>
    <xf numFmtId="49" fontId="0" fillId="0" borderId="15" xfId="0" applyNumberForma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8" borderId="1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44" fontId="1" fillId="8" borderId="5" xfId="2" applyFont="1" applyFill="1" applyBorder="1" applyAlignment="1">
      <alignment horizontal="center" vertical="center"/>
    </xf>
    <xf numFmtId="44" fontId="1" fillId="5" borderId="5" xfId="2" applyFont="1" applyFill="1" applyBorder="1" applyAlignment="1">
      <alignment horizontal="center" vertical="center"/>
    </xf>
    <xf numFmtId="44" fontId="1" fillId="9" borderId="5" xfId="2" applyFont="1" applyFill="1" applyBorder="1" applyAlignment="1">
      <alignment horizontal="center" vertical="center"/>
    </xf>
    <xf numFmtId="44" fontId="1" fillId="2" borderId="13" xfId="2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39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vertical="center"/>
    </xf>
    <xf numFmtId="44" fontId="1" fillId="0" borderId="27" xfId="2" applyFont="1" applyBorder="1"/>
    <xf numFmtId="0" fontId="1" fillId="0" borderId="24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30" xfId="0" applyFont="1" applyBorder="1" applyAlignment="1">
      <alignment horizontal="center"/>
    </xf>
  </cellXfs>
  <cellStyles count="3">
    <cellStyle name="Excel Built-in Normal" xfId="1"/>
    <cellStyle name="Měna" xfId="2" builtinId="4"/>
    <cellStyle name="Normální" xfId="0" builtinId="0"/>
  </cellStyles>
  <dxfs count="17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46"/>
  <sheetViews>
    <sheetView workbookViewId="0">
      <pane xSplit="34" topLeftCell="AI1" activePane="topRight" state="frozen"/>
      <selection activeCell="H17" sqref="H17"/>
      <selection pane="topRight" activeCell="H17" sqref="H17"/>
    </sheetView>
  </sheetViews>
  <sheetFormatPr defaultRowHeight="15" x14ac:dyDescent="0.25"/>
  <cols>
    <col min="1" max="1" width="18.42578125" hidden="1" customWidth="1"/>
    <col min="2" max="22" width="9.140625" hidden="1" customWidth="1"/>
    <col min="23" max="23" width="19" hidden="1" customWidth="1"/>
    <col min="24" max="30" width="9.140625" hidden="1" customWidth="1"/>
    <col min="31" max="31" width="12.5703125" bestFit="1" customWidth="1"/>
    <col min="32" max="32" width="11.140625" bestFit="1" customWidth="1"/>
    <col min="33" max="33" width="15.42578125" bestFit="1" customWidth="1"/>
    <col min="34" max="34" width="23.140625" customWidth="1"/>
    <col min="35" max="44" width="25.5703125" customWidth="1"/>
    <col min="45" max="54" width="20.28515625" hidden="1" customWidth="1"/>
    <col min="55" max="56" width="20.28515625" customWidth="1"/>
    <col min="57" max="57" width="13.7109375" style="99" bestFit="1" customWidth="1"/>
    <col min="59" max="59" width="12.7109375" bestFit="1" customWidth="1"/>
    <col min="61" max="61" width="12.7109375" bestFit="1" customWidth="1"/>
    <col min="63" max="63" width="12.7109375" bestFit="1" customWidth="1"/>
    <col min="65" max="65" width="13.7109375" bestFit="1" customWidth="1"/>
    <col min="67" max="67" width="12.7109375" bestFit="1" customWidth="1"/>
    <col min="68" max="68" width="12.85546875" bestFit="1" customWidth="1"/>
    <col min="69" max="69" width="14" bestFit="1" customWidth="1"/>
  </cols>
  <sheetData>
    <row r="1" spans="1:69" ht="15.75" thickBot="1" x14ac:dyDescent="0.3">
      <c r="AE1" s="4"/>
      <c r="AF1" s="4"/>
      <c r="AG1" s="4"/>
      <c r="AH1" s="4"/>
      <c r="AI1" s="30" t="s">
        <v>84</v>
      </c>
      <c r="AJ1" s="31"/>
      <c r="AK1" s="31"/>
      <c r="AL1" s="31"/>
      <c r="AM1" s="32"/>
      <c r="AN1" s="247" t="s">
        <v>121</v>
      </c>
      <c r="AO1" s="248"/>
      <c r="AP1" s="248"/>
      <c r="AQ1" s="249"/>
      <c r="AR1" s="101"/>
      <c r="AS1" s="30" t="s">
        <v>73</v>
      </c>
      <c r="AT1" s="31"/>
      <c r="AU1" s="31"/>
      <c r="AV1" s="31"/>
      <c r="AW1" s="31"/>
      <c r="AX1" s="31"/>
      <c r="AY1" s="31"/>
      <c r="AZ1" s="31"/>
      <c r="BA1" s="31"/>
      <c r="BB1" s="32"/>
      <c r="BC1" s="122"/>
      <c r="BD1" s="122"/>
      <c r="BF1" s="3" t="s">
        <v>95</v>
      </c>
      <c r="BG1" s="99">
        <f>114237*0.8</f>
        <v>91389.6</v>
      </c>
      <c r="BH1" s="3" t="s">
        <v>103</v>
      </c>
      <c r="BI1" s="99">
        <f>91900*0.8</f>
        <v>73520</v>
      </c>
      <c r="BJ1" s="3" t="s">
        <v>104</v>
      </c>
      <c r="BK1" s="99">
        <f>64600*0.8</f>
        <v>51680</v>
      </c>
      <c r="BL1" s="3" t="s">
        <v>96</v>
      </c>
      <c r="BM1" s="99">
        <f>141417*0.8</f>
        <v>113133.6</v>
      </c>
      <c r="BN1" s="3" t="s">
        <v>97</v>
      </c>
      <c r="BO1" s="99">
        <f>76313*0.8</f>
        <v>61050.400000000001</v>
      </c>
      <c r="BP1" s="3" t="s">
        <v>98</v>
      </c>
      <c r="BQ1" s="99">
        <f>52000*0.8</f>
        <v>41600</v>
      </c>
    </row>
    <row r="2" spans="1:69" ht="15.75" thickBot="1" x14ac:dyDescent="0.3">
      <c r="AE2" s="27" t="s">
        <v>72</v>
      </c>
      <c r="AF2" s="28" t="s">
        <v>71</v>
      </c>
      <c r="AG2" s="128" t="s">
        <v>124</v>
      </c>
      <c r="AH2" s="29" t="s">
        <v>70</v>
      </c>
      <c r="AI2" s="81">
        <v>1</v>
      </c>
      <c r="AJ2" s="82">
        <v>2</v>
      </c>
      <c r="AK2" s="82">
        <v>3</v>
      </c>
      <c r="AL2" s="82">
        <v>4</v>
      </c>
      <c r="AM2" s="83">
        <v>5</v>
      </c>
      <c r="AN2" s="102"/>
      <c r="AO2" s="102"/>
      <c r="AP2" s="102"/>
      <c r="AQ2" s="102"/>
      <c r="AR2" s="102"/>
      <c r="AS2" s="18" t="s">
        <v>74</v>
      </c>
      <c r="AT2" s="33" t="s">
        <v>75</v>
      </c>
      <c r="AU2" s="33" t="s">
        <v>76</v>
      </c>
      <c r="AV2" s="33" t="s">
        <v>77</v>
      </c>
      <c r="AW2" s="33" t="s">
        <v>78</v>
      </c>
      <c r="AX2" s="33" t="s">
        <v>79</v>
      </c>
      <c r="AY2" s="33" t="s">
        <v>80</v>
      </c>
      <c r="AZ2" s="33" t="s">
        <v>81</v>
      </c>
      <c r="BA2" s="33" t="s">
        <v>82</v>
      </c>
      <c r="BB2" s="19" t="s">
        <v>83</v>
      </c>
      <c r="BC2" s="123" t="s">
        <v>122</v>
      </c>
      <c r="BD2" s="123" t="s">
        <v>125</v>
      </c>
      <c r="BE2" s="100" t="s">
        <v>120</v>
      </c>
      <c r="BF2" s="98" t="s">
        <v>99</v>
      </c>
      <c r="BG2">
        <v>0.2</v>
      </c>
      <c r="BH2" s="98" t="s">
        <v>100</v>
      </c>
      <c r="BI2">
        <v>0.3</v>
      </c>
      <c r="BJ2" s="3" t="s">
        <v>101</v>
      </c>
      <c r="BK2">
        <v>0.4</v>
      </c>
      <c r="BL2" s="3" t="s">
        <v>102</v>
      </c>
      <c r="BM2">
        <v>0.4</v>
      </c>
    </row>
    <row r="3" spans="1:69" x14ac:dyDescent="0.25">
      <c r="D3" s="2" t="s">
        <v>84</v>
      </c>
      <c r="E3" s="2"/>
      <c r="F3" s="2"/>
      <c r="G3" s="2"/>
      <c r="H3" s="2"/>
      <c r="I3" s="2" t="s">
        <v>73</v>
      </c>
      <c r="J3" s="2"/>
      <c r="K3" s="2"/>
      <c r="L3" s="2"/>
      <c r="M3" s="2"/>
      <c r="N3" s="2"/>
      <c r="O3" s="2"/>
      <c r="P3" s="2"/>
      <c r="Q3" s="2"/>
      <c r="R3" s="2"/>
      <c r="AE3" s="14">
        <v>1</v>
      </c>
      <c r="AF3" s="15">
        <v>44.4</v>
      </c>
      <c r="AG3" s="130">
        <f>$AE$43*(AF3/(SUM($AF$3:$AF$32)))</f>
        <v>493465.46086956526</v>
      </c>
      <c r="AH3" s="20" t="s">
        <v>50</v>
      </c>
      <c r="AI3" s="50" t="s">
        <v>4</v>
      </c>
      <c r="AJ3" s="51" t="s">
        <v>89</v>
      </c>
      <c r="AK3" s="52" t="s">
        <v>90</v>
      </c>
      <c r="AL3" s="53">
        <v>0</v>
      </c>
      <c r="AM3" s="54">
        <v>0</v>
      </c>
      <c r="AN3" s="50" t="s">
        <v>4</v>
      </c>
      <c r="AO3" s="50" t="s">
        <v>4</v>
      </c>
      <c r="AP3" s="42" t="s">
        <v>89</v>
      </c>
      <c r="AQ3" s="103"/>
      <c r="AR3" s="103"/>
      <c r="AS3" s="50" t="s">
        <v>4</v>
      </c>
      <c r="AT3" s="69" t="s">
        <v>89</v>
      </c>
      <c r="AU3" s="50" t="s">
        <v>4</v>
      </c>
      <c r="AV3" s="50" t="s">
        <v>4</v>
      </c>
      <c r="AW3" s="52" t="s">
        <v>90</v>
      </c>
      <c r="AX3" s="52" t="s">
        <v>90</v>
      </c>
      <c r="AY3" s="34"/>
      <c r="AZ3" s="34"/>
      <c r="BA3" s="34"/>
      <c r="BB3" s="35"/>
      <c r="BC3" s="125">
        <f>2*Laser+Q_závodní</f>
        <v>243829.6</v>
      </c>
      <c r="BD3" s="125">
        <f t="shared" ref="BD3:BD8" si="0">AG3-BC3</f>
        <v>249635.86086956525</v>
      </c>
      <c r="BE3" s="99">
        <f>Laser*RD+Laser*SCM+Laser+Q_závodní*SPS+Q_trénink+Q_trénink</f>
        <v>253843.52000000002</v>
      </c>
      <c r="BF3" t="s">
        <v>105</v>
      </c>
      <c r="BI3" t="s">
        <v>113</v>
      </c>
    </row>
    <row r="4" spans="1:69" x14ac:dyDescent="0.25">
      <c r="A4" t="s">
        <v>70</v>
      </c>
      <c r="B4" t="s">
        <v>71</v>
      </c>
      <c r="C4" t="s">
        <v>72</v>
      </c>
      <c r="D4">
        <v>1</v>
      </c>
      <c r="E4">
        <v>2</v>
      </c>
      <c r="F4">
        <v>3</v>
      </c>
      <c r="G4">
        <v>4</v>
      </c>
      <c r="H4">
        <v>5</v>
      </c>
      <c r="I4" t="s">
        <v>74</v>
      </c>
      <c r="J4" t="s">
        <v>75</v>
      </c>
      <c r="K4" t="s">
        <v>76</v>
      </c>
      <c r="L4" t="s">
        <v>77</v>
      </c>
      <c r="M4" t="s">
        <v>78</v>
      </c>
      <c r="N4" t="s">
        <v>79</v>
      </c>
      <c r="O4" t="s">
        <v>80</v>
      </c>
      <c r="P4" t="s">
        <v>81</v>
      </c>
      <c r="Q4" t="s">
        <v>82</v>
      </c>
      <c r="R4" t="s">
        <v>83</v>
      </c>
      <c r="AE4" s="16">
        <v>2</v>
      </c>
      <c r="AF4" s="17">
        <v>37.700000000000003</v>
      </c>
      <c r="AG4" s="131">
        <f t="shared" ref="AG4:AG33" si="1">$AE$43*(AF4/(SUM($AF$3:$AF$32)))</f>
        <v>419001.0782608696</v>
      </c>
      <c r="AH4" s="21" t="s">
        <v>45</v>
      </c>
      <c r="AI4" s="55" t="s">
        <v>1</v>
      </c>
      <c r="AJ4" s="56" t="s">
        <v>4</v>
      </c>
      <c r="AK4" s="57" t="s">
        <v>90</v>
      </c>
      <c r="AL4" s="58" t="s">
        <v>89</v>
      </c>
      <c r="AM4" s="59" t="s">
        <v>7</v>
      </c>
      <c r="AN4" s="47" t="s">
        <v>42</v>
      </c>
      <c r="AO4" s="47" t="s">
        <v>42</v>
      </c>
      <c r="AP4" s="42" t="s">
        <v>89</v>
      </c>
      <c r="AQ4" s="45" t="s">
        <v>1</v>
      </c>
      <c r="AR4" s="45"/>
      <c r="AS4" s="74" t="s">
        <v>42</v>
      </c>
      <c r="AT4" s="74" t="s">
        <v>42</v>
      </c>
      <c r="AU4" s="69" t="s">
        <v>89</v>
      </c>
      <c r="AV4" s="74" t="s">
        <v>42</v>
      </c>
      <c r="AW4" s="55" t="s">
        <v>1</v>
      </c>
      <c r="AX4" s="55" t="s">
        <v>1</v>
      </c>
      <c r="BB4" s="38"/>
      <c r="BC4" s="125">
        <f>iQFoil_b*2+Q_závodní+RS_Feva</f>
        <v>321224</v>
      </c>
      <c r="BD4" s="125">
        <f t="shared" si="0"/>
        <v>97777.078260869603</v>
      </c>
      <c r="BE4" s="99">
        <f>iQFoil_b*RD+iQFoil_b*SCM+Q_závodní*SPS+iQFoil_b+RS_Feva</f>
        <v>255185.76</v>
      </c>
      <c r="BF4" t="s">
        <v>108</v>
      </c>
      <c r="BJ4" t="s">
        <v>114</v>
      </c>
    </row>
    <row r="5" spans="1:69" x14ac:dyDescent="0.25">
      <c r="A5" s="6" t="s">
        <v>50</v>
      </c>
      <c r="B5" s="7">
        <v>44.4</v>
      </c>
      <c r="C5">
        <v>1</v>
      </c>
      <c r="AE5" s="16">
        <v>3</v>
      </c>
      <c r="AF5" s="17">
        <v>25.5</v>
      </c>
      <c r="AG5" s="131">
        <f t="shared" si="1"/>
        <v>283409.21739130438</v>
      </c>
      <c r="AH5" s="21" t="s">
        <v>64</v>
      </c>
      <c r="AI5" s="60" t="s">
        <v>91</v>
      </c>
      <c r="AJ5" s="61" t="s">
        <v>91</v>
      </c>
      <c r="AK5" s="57" t="s">
        <v>90</v>
      </c>
      <c r="AL5" s="58" t="s">
        <v>89</v>
      </c>
      <c r="AM5" s="62"/>
      <c r="AN5" s="104"/>
      <c r="AO5" s="104"/>
      <c r="AP5" s="104"/>
      <c r="AQ5" s="104"/>
      <c r="AR5" s="104"/>
      <c r="AS5" s="57" t="s">
        <v>90</v>
      </c>
      <c r="AT5" s="57" t="s">
        <v>90</v>
      </c>
      <c r="AU5" s="57" t="s">
        <v>90</v>
      </c>
      <c r="AV5" s="37"/>
      <c r="AW5" s="37"/>
      <c r="AX5" s="37"/>
      <c r="AY5" s="37"/>
      <c r="AZ5" s="37"/>
      <c r="BA5" s="37"/>
      <c r="BB5" s="38"/>
      <c r="BC5" s="125"/>
      <c r="BD5" s="125">
        <f t="shared" si="0"/>
        <v>283409.21739130438</v>
      </c>
      <c r="BE5" s="99">
        <f>Q_trénink+Q_trénink+Q_trénink</f>
        <v>124800</v>
      </c>
    </row>
    <row r="6" spans="1:69" x14ac:dyDescent="0.25">
      <c r="A6" s="6" t="s">
        <v>45</v>
      </c>
      <c r="B6" s="7">
        <v>37.700000000000003</v>
      </c>
      <c r="C6">
        <v>2</v>
      </c>
      <c r="AE6" s="16">
        <v>4</v>
      </c>
      <c r="AF6" s="17">
        <v>21.799999999999997</v>
      </c>
      <c r="AG6" s="131">
        <f t="shared" si="1"/>
        <v>242287.09565217391</v>
      </c>
      <c r="AH6" s="21" t="s">
        <v>60</v>
      </c>
      <c r="AI6" s="63" t="s">
        <v>90</v>
      </c>
      <c r="AJ6" s="56" t="s">
        <v>4</v>
      </c>
      <c r="AK6" s="64">
        <v>0</v>
      </c>
      <c r="AL6" s="64">
        <v>0</v>
      </c>
      <c r="AM6" s="62">
        <v>0</v>
      </c>
      <c r="AN6" s="104"/>
      <c r="AO6" s="104"/>
      <c r="AP6" s="104"/>
      <c r="AQ6" s="104"/>
      <c r="AR6" s="104"/>
      <c r="AS6" s="57" t="s">
        <v>90</v>
      </c>
      <c r="AT6" s="57" t="s">
        <v>90</v>
      </c>
      <c r="AU6" s="57" t="s">
        <v>90</v>
      </c>
      <c r="AV6" s="37"/>
      <c r="AW6" s="37"/>
      <c r="AX6" s="37"/>
      <c r="AY6" s="37"/>
      <c r="AZ6" s="37"/>
      <c r="BA6" s="37"/>
      <c r="BB6" s="38"/>
      <c r="BC6" s="125"/>
      <c r="BD6" s="125">
        <f t="shared" si="0"/>
        <v>242287.09565217391</v>
      </c>
      <c r="BE6" s="99">
        <f>Q_trénink+Q_trénink+Q_trénink</f>
        <v>124800</v>
      </c>
    </row>
    <row r="7" spans="1:69" x14ac:dyDescent="0.25">
      <c r="A7" s="6" t="s">
        <v>64</v>
      </c>
      <c r="B7" s="7">
        <v>25.5</v>
      </c>
      <c r="C7">
        <v>3</v>
      </c>
      <c r="AE7" s="16">
        <v>5</v>
      </c>
      <c r="AF7" s="17">
        <v>20.200000000000003</v>
      </c>
      <c r="AG7" s="131">
        <f t="shared" si="1"/>
        <v>224504.5565217392</v>
      </c>
      <c r="AH7" s="21" t="s">
        <v>69</v>
      </c>
      <c r="AI7" s="55" t="s">
        <v>1</v>
      </c>
      <c r="AJ7" s="58" t="s">
        <v>89</v>
      </c>
      <c r="AK7" s="64">
        <v>0</v>
      </c>
      <c r="AL7" s="64">
        <v>0</v>
      </c>
      <c r="AM7" s="62">
        <v>0</v>
      </c>
      <c r="AN7" s="42" t="s">
        <v>89</v>
      </c>
      <c r="AO7" s="45" t="s">
        <v>1</v>
      </c>
      <c r="AP7" s="105"/>
      <c r="AQ7" s="105"/>
      <c r="AR7" s="105"/>
      <c r="AS7" s="69" t="s">
        <v>89</v>
      </c>
      <c r="AT7" s="55" t="s">
        <v>1</v>
      </c>
      <c r="AU7" s="37"/>
      <c r="AV7" s="37"/>
      <c r="AW7" s="37"/>
      <c r="AX7" s="37"/>
      <c r="AY7" s="37"/>
      <c r="AZ7" s="37"/>
      <c r="BA7" s="37"/>
      <c r="BB7" s="38"/>
      <c r="BC7" s="125">
        <f>Q_závodní+RS_Feva</f>
        <v>174184</v>
      </c>
      <c r="BD7" s="125">
        <f t="shared" si="0"/>
        <v>50320.5565217392</v>
      </c>
      <c r="BE7" s="99">
        <f>Q_závodní*SPS+RS_Feva</f>
        <v>137553.76</v>
      </c>
      <c r="BF7" t="s">
        <v>119</v>
      </c>
    </row>
    <row r="8" spans="1:69" x14ac:dyDescent="0.25">
      <c r="A8" s="6" t="s">
        <v>60</v>
      </c>
      <c r="B8" s="7">
        <v>21.799999999999997</v>
      </c>
      <c r="C8">
        <v>4</v>
      </c>
      <c r="AE8" s="16">
        <v>6</v>
      </c>
      <c r="AF8" s="17">
        <v>18.7</v>
      </c>
      <c r="AG8" s="131">
        <f t="shared" si="1"/>
        <v>207833.42608695655</v>
      </c>
      <c r="AH8" s="21" t="s">
        <v>48</v>
      </c>
      <c r="AI8" s="55" t="s">
        <v>1</v>
      </c>
      <c r="AJ8" s="61" t="s">
        <v>91</v>
      </c>
      <c r="AK8" s="65" t="s">
        <v>42</v>
      </c>
      <c r="AL8" s="58" t="s">
        <v>89</v>
      </c>
      <c r="AM8" s="62">
        <v>0</v>
      </c>
      <c r="AN8" s="55" t="s">
        <v>1</v>
      </c>
      <c r="AO8" s="105"/>
      <c r="AP8" s="105"/>
      <c r="AQ8" s="105"/>
      <c r="AR8" s="105"/>
      <c r="AS8" s="55" t="s">
        <v>1</v>
      </c>
      <c r="AT8" s="37"/>
      <c r="AU8" s="37"/>
      <c r="AV8" s="37"/>
      <c r="AW8" s="37"/>
      <c r="AX8" s="37"/>
      <c r="AY8" s="37"/>
      <c r="AZ8" s="37"/>
      <c r="BA8" s="37"/>
      <c r="BB8" s="38"/>
      <c r="BC8" s="125">
        <f>RS_Feva</f>
        <v>113133.6</v>
      </c>
      <c r="BD8" s="125">
        <f t="shared" si="0"/>
        <v>94699.826086956542</v>
      </c>
      <c r="BE8" s="99">
        <f>RS_Feva</f>
        <v>113133.6</v>
      </c>
    </row>
    <row r="9" spans="1:69" x14ac:dyDescent="0.25">
      <c r="A9" s="13" t="s">
        <v>69</v>
      </c>
      <c r="B9" s="7">
        <v>20.200000000000003</v>
      </c>
      <c r="C9">
        <v>5</v>
      </c>
      <c r="AE9" s="16">
        <v>7</v>
      </c>
      <c r="AF9" s="17">
        <v>18.599999999999998</v>
      </c>
      <c r="AG9" s="131">
        <f t="shared" si="1"/>
        <v>206722.01739130437</v>
      </c>
      <c r="AH9" s="21" t="s">
        <v>46</v>
      </c>
      <c r="AI9" s="55" t="s">
        <v>1</v>
      </c>
      <c r="AJ9" s="66" t="s">
        <v>1</v>
      </c>
      <c r="AK9" s="67" t="s">
        <v>7</v>
      </c>
      <c r="AL9" s="56" t="s">
        <v>4</v>
      </c>
      <c r="AM9" s="68" t="s">
        <v>1</v>
      </c>
      <c r="AN9" s="45" t="s">
        <v>1</v>
      </c>
      <c r="AO9" s="45" t="s">
        <v>1</v>
      </c>
      <c r="AP9" s="108"/>
      <c r="AQ9" s="108"/>
      <c r="AR9" s="108"/>
      <c r="AS9" s="55" t="s">
        <v>1</v>
      </c>
      <c r="AT9" s="66" t="s">
        <v>1</v>
      </c>
      <c r="AU9" s="37"/>
      <c r="AV9" s="37"/>
      <c r="AW9" s="37"/>
      <c r="AX9" s="37"/>
      <c r="AY9" s="37"/>
      <c r="AZ9" s="37"/>
      <c r="BA9" s="37"/>
      <c r="BB9" s="38"/>
      <c r="BC9" s="125">
        <f>RS_Feva+RS_Feva</f>
        <v>226267.2</v>
      </c>
      <c r="BD9" s="125">
        <v>0</v>
      </c>
      <c r="BE9" s="99">
        <f>RS_Feva+RS_Feva</f>
        <v>226267.2</v>
      </c>
    </row>
    <row r="10" spans="1:69" x14ac:dyDescent="0.25">
      <c r="A10" s="6" t="s">
        <v>48</v>
      </c>
      <c r="B10" s="7">
        <v>18.7</v>
      </c>
      <c r="C10">
        <v>6</v>
      </c>
      <c r="AE10" s="16">
        <v>8</v>
      </c>
      <c r="AF10" s="17">
        <v>18.499999999999996</v>
      </c>
      <c r="AG10" s="131">
        <f t="shared" si="1"/>
        <v>205610.60869565216</v>
      </c>
      <c r="AH10" s="22" t="s">
        <v>43</v>
      </c>
      <c r="AI10" s="69" t="s">
        <v>89</v>
      </c>
      <c r="AJ10" s="57" t="s">
        <v>90</v>
      </c>
      <c r="AK10" s="57" t="s">
        <v>90</v>
      </c>
      <c r="AL10" s="57" t="s">
        <v>90</v>
      </c>
      <c r="AM10" s="70">
        <v>0</v>
      </c>
      <c r="AN10" s="106"/>
      <c r="AO10" s="106"/>
      <c r="AP10" s="106"/>
      <c r="AQ10" s="106"/>
      <c r="AR10" s="106"/>
      <c r="AS10" s="57" t="s">
        <v>90</v>
      </c>
      <c r="AT10" s="57" t="s">
        <v>90</v>
      </c>
      <c r="AU10" s="57" t="s">
        <v>90</v>
      </c>
      <c r="AV10" s="37"/>
      <c r="AW10" s="37"/>
      <c r="AX10" s="37"/>
      <c r="AY10" s="37"/>
      <c r="AZ10" s="37"/>
      <c r="BA10" s="37"/>
      <c r="BB10" s="38"/>
      <c r="BC10" s="125"/>
      <c r="BD10" s="125">
        <f>AG10-BC10</f>
        <v>205610.60869565216</v>
      </c>
      <c r="BE10" s="99">
        <f>Q_trénink+Q_trénink+Q_trénink</f>
        <v>124800</v>
      </c>
    </row>
    <row r="11" spans="1:69" x14ac:dyDescent="0.25">
      <c r="A11" s="6"/>
      <c r="B11" s="7"/>
      <c r="AE11" s="16">
        <v>9</v>
      </c>
      <c r="AF11" s="17">
        <v>16.600000000000001</v>
      </c>
      <c r="AG11" s="131">
        <f t="shared" si="1"/>
        <v>184493.84347826091</v>
      </c>
      <c r="AH11" s="21" t="s">
        <v>54</v>
      </c>
      <c r="AI11" s="55" t="s">
        <v>1</v>
      </c>
      <c r="AJ11" s="66" t="s">
        <v>1</v>
      </c>
      <c r="AK11" s="58" t="s">
        <v>89</v>
      </c>
      <c r="AL11" s="64">
        <v>0</v>
      </c>
      <c r="AM11" s="62">
        <v>0</v>
      </c>
      <c r="AN11" s="45" t="s">
        <v>1</v>
      </c>
      <c r="AO11" s="45" t="s">
        <v>1</v>
      </c>
      <c r="AP11" s="105"/>
      <c r="AQ11" s="105"/>
      <c r="AR11" s="105"/>
      <c r="AS11" s="55" t="s">
        <v>1</v>
      </c>
      <c r="AT11" s="66" t="s">
        <v>1</v>
      </c>
      <c r="AU11" s="37"/>
      <c r="AV11" s="37"/>
      <c r="AW11" s="37"/>
      <c r="AX11" s="37"/>
      <c r="AY11" s="37"/>
      <c r="AZ11" s="37"/>
      <c r="BA11" s="37"/>
      <c r="BB11" s="38"/>
      <c r="BC11" s="125">
        <f>RS_Feva+RS_Feva</f>
        <v>226267.2</v>
      </c>
      <c r="BD11" s="125">
        <v>0</v>
      </c>
      <c r="BE11" s="99">
        <f>RS_Feva+RS_Feva</f>
        <v>226267.2</v>
      </c>
    </row>
    <row r="12" spans="1:69" ht="15.75" thickBot="1" x14ac:dyDescent="0.3">
      <c r="A12" s="6" t="s">
        <v>46</v>
      </c>
      <c r="B12" s="7">
        <v>18.599999999999998</v>
      </c>
      <c r="C12">
        <v>7</v>
      </c>
      <c r="AE12" s="16">
        <v>10</v>
      </c>
      <c r="AF12" s="17">
        <v>14.7</v>
      </c>
      <c r="AG12" s="131">
        <f t="shared" si="1"/>
        <v>163377.07826086957</v>
      </c>
      <c r="AH12" s="21" t="s">
        <v>66</v>
      </c>
      <c r="AI12" s="69" t="s">
        <v>89</v>
      </c>
      <c r="AJ12" s="56" t="s">
        <v>4</v>
      </c>
      <c r="AK12" s="58" t="s">
        <v>89</v>
      </c>
      <c r="AL12" s="58" t="s">
        <v>89</v>
      </c>
      <c r="AM12" s="71" t="s">
        <v>89</v>
      </c>
      <c r="AN12" s="42" t="s">
        <v>89</v>
      </c>
      <c r="AO12" s="108"/>
      <c r="AP12" s="108"/>
      <c r="AQ12" s="108"/>
      <c r="AR12" s="108"/>
      <c r="AS12" s="69" t="s">
        <v>89</v>
      </c>
      <c r="AT12" s="57" t="s">
        <v>90</v>
      </c>
      <c r="AU12" s="57" t="s">
        <v>90</v>
      </c>
      <c r="AV12" s="37"/>
      <c r="AW12" s="37"/>
      <c r="AX12" s="37"/>
      <c r="AY12" s="37"/>
      <c r="AZ12" s="37"/>
      <c r="BA12" s="37"/>
      <c r="BB12" s="38"/>
      <c r="BC12" s="125">
        <f>Q_závodní</f>
        <v>61050.400000000001</v>
      </c>
      <c r="BD12" s="125">
        <f t="shared" ref="BD12:BD17" si="2">AG12-BC12</f>
        <v>102326.67826086958</v>
      </c>
      <c r="BE12" s="99">
        <f>Q_závodní*SPS+Q_trénink+Q_trénink</f>
        <v>107620.16</v>
      </c>
      <c r="BF12" t="s">
        <v>116</v>
      </c>
      <c r="BP12" s="181" t="s">
        <v>137</v>
      </c>
      <c r="BQ12" s="181" t="s">
        <v>138</v>
      </c>
    </row>
    <row r="13" spans="1:69" x14ac:dyDescent="0.25">
      <c r="A13" s="5" t="s">
        <v>43</v>
      </c>
      <c r="B13" s="7">
        <v>18.499999999999996</v>
      </c>
      <c r="C13">
        <v>8</v>
      </c>
      <c r="AE13" s="16">
        <v>11</v>
      </c>
      <c r="AF13" s="17">
        <v>14.5</v>
      </c>
      <c r="AG13" s="131">
        <f t="shared" si="1"/>
        <v>161154.26086956525</v>
      </c>
      <c r="AH13" s="21" t="s">
        <v>58</v>
      </c>
      <c r="AI13" s="72" t="s">
        <v>4</v>
      </c>
      <c r="AJ13" s="66" t="s">
        <v>1</v>
      </c>
      <c r="AK13" s="67" t="s">
        <v>7</v>
      </c>
      <c r="AL13" s="64">
        <v>0</v>
      </c>
      <c r="AM13" s="62">
        <v>0</v>
      </c>
      <c r="AN13" s="50" t="s">
        <v>4</v>
      </c>
      <c r="AO13" s="47" t="s">
        <v>42</v>
      </c>
      <c r="AP13" s="47" t="s">
        <v>42</v>
      </c>
      <c r="AQ13" s="47" t="s">
        <v>42</v>
      </c>
      <c r="AR13" s="121"/>
      <c r="AS13" s="72" t="s">
        <v>4</v>
      </c>
      <c r="AT13" s="74" t="s">
        <v>42</v>
      </c>
      <c r="AU13" s="74" t="s">
        <v>42</v>
      </c>
      <c r="AV13" s="74" t="s">
        <v>42</v>
      </c>
      <c r="AY13" s="37"/>
      <c r="AZ13" s="37"/>
      <c r="BA13" s="37"/>
      <c r="BB13" s="38"/>
      <c r="BC13" s="125"/>
      <c r="BD13" s="125">
        <f t="shared" si="2"/>
        <v>161154.26086956525</v>
      </c>
      <c r="BE13" s="99">
        <f>Laser*SCM+iQFoil_b*SCM+iQFoil_b*SPS+iQFoil_b*SPS</f>
        <v>124779.84</v>
      </c>
      <c r="BF13" t="s">
        <v>106</v>
      </c>
      <c r="BH13" t="s">
        <v>109</v>
      </c>
      <c r="BO13" t="s">
        <v>4</v>
      </c>
      <c r="BP13" s="99">
        <f>Laser/4</f>
        <v>22847.4</v>
      </c>
      <c r="BQ13" s="99">
        <f>BP13+Laser</f>
        <v>114237</v>
      </c>
    </row>
    <row r="14" spans="1:69" x14ac:dyDescent="0.25">
      <c r="A14" s="6" t="s">
        <v>54</v>
      </c>
      <c r="B14" s="7">
        <v>16.600000000000001</v>
      </c>
      <c r="C14">
        <v>9</v>
      </c>
      <c r="AE14" s="16">
        <v>12</v>
      </c>
      <c r="AF14" s="17">
        <v>14.4</v>
      </c>
      <c r="AG14" s="131">
        <f t="shared" si="1"/>
        <v>160042.85217391307</v>
      </c>
      <c r="AH14" s="21" t="s">
        <v>61</v>
      </c>
      <c r="AI14" s="72" t="s">
        <v>4</v>
      </c>
      <c r="AJ14" s="67" t="s">
        <v>7</v>
      </c>
      <c r="AK14" s="66" t="s">
        <v>1</v>
      </c>
      <c r="AL14" s="64">
        <v>0</v>
      </c>
      <c r="AM14" s="62">
        <v>0</v>
      </c>
      <c r="AN14" s="104"/>
      <c r="AO14" s="104"/>
      <c r="AP14" s="104"/>
      <c r="AQ14" s="104"/>
      <c r="AR14" s="104"/>
      <c r="AS14" s="57" t="s">
        <v>90</v>
      </c>
      <c r="AT14" s="57" t="s">
        <v>90</v>
      </c>
      <c r="AU14" s="37"/>
      <c r="AV14" s="37"/>
      <c r="AW14" s="37"/>
      <c r="AX14" s="37"/>
      <c r="AY14" s="37"/>
      <c r="AZ14" s="37"/>
      <c r="BA14" s="37"/>
      <c r="BB14" s="38"/>
      <c r="BC14" s="125"/>
      <c r="BD14" s="125">
        <f t="shared" si="2"/>
        <v>160042.85217391307</v>
      </c>
      <c r="BE14" s="99">
        <f>Q_trénink+Q_trénink</f>
        <v>83200</v>
      </c>
      <c r="BO14" t="s">
        <v>42</v>
      </c>
      <c r="BP14" s="99">
        <f>iQFoil_b/4</f>
        <v>18380</v>
      </c>
      <c r="BQ14" s="99">
        <f>BP14+iQFoil_b</f>
        <v>91900</v>
      </c>
    </row>
    <row r="15" spans="1:69" x14ac:dyDescent="0.25">
      <c r="A15" s="6" t="s">
        <v>66</v>
      </c>
      <c r="B15" s="7">
        <v>14.7</v>
      </c>
      <c r="C15">
        <v>10</v>
      </c>
      <c r="AE15" s="16">
        <v>13</v>
      </c>
      <c r="AF15" s="17">
        <v>13.8</v>
      </c>
      <c r="AG15" s="131">
        <f t="shared" si="1"/>
        <v>153374.40000000005</v>
      </c>
      <c r="AH15" s="21" t="s">
        <v>47</v>
      </c>
      <c r="AI15" s="69" t="s">
        <v>89</v>
      </c>
      <c r="AJ15" s="56" t="s">
        <v>4</v>
      </c>
      <c r="AK15" s="64">
        <v>0</v>
      </c>
      <c r="AL15" s="64">
        <v>0</v>
      </c>
      <c r="AM15" s="62">
        <v>0</v>
      </c>
      <c r="AN15" s="104"/>
      <c r="AO15" s="104"/>
      <c r="AP15" s="104"/>
      <c r="AQ15" s="104"/>
      <c r="AR15" s="104"/>
      <c r="AS15" s="57" t="s">
        <v>90</v>
      </c>
      <c r="AT15" s="57" t="s">
        <v>90</v>
      </c>
      <c r="AU15" s="37"/>
      <c r="AV15" s="37"/>
      <c r="AW15" s="37"/>
      <c r="AX15" s="37"/>
      <c r="AY15" s="37"/>
      <c r="AZ15" s="37"/>
      <c r="BA15" s="37"/>
      <c r="BB15" s="38"/>
      <c r="BC15" s="125"/>
      <c r="BD15" s="125">
        <f t="shared" si="2"/>
        <v>153374.40000000005</v>
      </c>
      <c r="BE15" s="99">
        <f>Q_trénink+Q_trénink</f>
        <v>83200</v>
      </c>
      <c r="BO15" t="s">
        <v>1</v>
      </c>
      <c r="BP15" s="99">
        <f>RS_Feva/4</f>
        <v>28283.4</v>
      </c>
      <c r="BQ15" s="99">
        <f>BP15+RS_Feva</f>
        <v>141417</v>
      </c>
    </row>
    <row r="16" spans="1:69" x14ac:dyDescent="0.25">
      <c r="A16" s="6" t="s">
        <v>58</v>
      </c>
      <c r="B16" s="7">
        <v>14.5</v>
      </c>
      <c r="C16">
        <v>11</v>
      </c>
      <c r="AE16" s="16">
        <v>14</v>
      </c>
      <c r="AF16" s="17">
        <v>13.7</v>
      </c>
      <c r="AG16" s="131">
        <f t="shared" si="1"/>
        <v>152262.99130434784</v>
      </c>
      <c r="AH16" s="21" t="s">
        <v>65</v>
      </c>
      <c r="AI16" s="69" t="s">
        <v>89</v>
      </c>
      <c r="AJ16" s="61" t="s">
        <v>91</v>
      </c>
      <c r="AK16" s="64">
        <v>0</v>
      </c>
      <c r="AL16" s="64">
        <v>0</v>
      </c>
      <c r="AM16" s="62">
        <v>0</v>
      </c>
      <c r="AN16" s="104"/>
      <c r="AO16" s="104"/>
      <c r="AP16" s="104"/>
      <c r="AQ16" s="104"/>
      <c r="AR16" s="104"/>
      <c r="AS16" s="57" t="s">
        <v>90</v>
      </c>
      <c r="AT16" s="57" t="s">
        <v>90</v>
      </c>
      <c r="AU16" s="37"/>
      <c r="AV16" s="37"/>
      <c r="AW16" s="37"/>
      <c r="AX16" s="37"/>
      <c r="AY16" s="37"/>
      <c r="AZ16" s="37"/>
      <c r="BA16" s="37"/>
      <c r="BB16" s="38"/>
      <c r="BC16" s="125"/>
      <c r="BD16" s="125">
        <f t="shared" si="2"/>
        <v>152262.99130434784</v>
      </c>
      <c r="BE16" s="99">
        <f>Q_trénink+Q_trénink</f>
        <v>83200</v>
      </c>
      <c r="BO16" t="s">
        <v>135</v>
      </c>
      <c r="BP16" s="99">
        <f>Q_závodní/4</f>
        <v>15262.6</v>
      </c>
      <c r="BQ16" s="99">
        <f>BP16+Q_závodní</f>
        <v>76313</v>
      </c>
    </row>
    <row r="17" spans="1:69" x14ac:dyDescent="0.25">
      <c r="A17" s="6" t="s">
        <v>61</v>
      </c>
      <c r="B17" s="7">
        <v>14.4</v>
      </c>
      <c r="C17">
        <v>12</v>
      </c>
      <c r="AE17" s="16">
        <v>15</v>
      </c>
      <c r="AF17" s="17">
        <v>13.3</v>
      </c>
      <c r="AG17" s="131">
        <f t="shared" si="1"/>
        <v>147817.35652173916</v>
      </c>
      <c r="AH17" s="21" t="s">
        <v>49</v>
      </c>
      <c r="AI17" s="72" t="s">
        <v>4</v>
      </c>
      <c r="AJ17" s="64">
        <v>0</v>
      </c>
      <c r="AK17" s="64">
        <v>0</v>
      </c>
      <c r="AL17" s="64">
        <v>0</v>
      </c>
      <c r="AM17" s="62">
        <v>0</v>
      </c>
      <c r="AN17" s="42" t="s">
        <v>89</v>
      </c>
      <c r="AO17" s="13"/>
      <c r="AP17" s="13"/>
      <c r="AQ17" s="13"/>
      <c r="AR17" s="121"/>
      <c r="AS17" s="69" t="s">
        <v>89</v>
      </c>
      <c r="AT17" s="57" t="s">
        <v>90</v>
      </c>
      <c r="AU17" s="37"/>
      <c r="AV17" s="37"/>
      <c r="AW17" s="37"/>
      <c r="AX17" s="37"/>
      <c r="AY17" s="37"/>
      <c r="AZ17" s="37"/>
      <c r="BA17" s="37"/>
      <c r="BB17" s="38"/>
      <c r="BC17" s="125">
        <f>Q_závodní</f>
        <v>61050.400000000001</v>
      </c>
      <c r="BD17" s="125">
        <f t="shared" si="2"/>
        <v>86766.956521739165</v>
      </c>
      <c r="BE17" s="99">
        <f>Q_závodní*SPS+Q_trénink</f>
        <v>66020.160000000003</v>
      </c>
      <c r="BF17" t="s">
        <v>117</v>
      </c>
      <c r="BO17" t="s">
        <v>136</v>
      </c>
      <c r="BP17" s="99">
        <f>Q_trénink/4</f>
        <v>10400</v>
      </c>
      <c r="BQ17" s="99">
        <f>BP17+Q_trénink</f>
        <v>52000</v>
      </c>
    </row>
    <row r="18" spans="1:69" x14ac:dyDescent="0.25">
      <c r="A18" s="6" t="s">
        <v>47</v>
      </c>
      <c r="B18" s="7">
        <v>13.8</v>
      </c>
      <c r="C18">
        <v>13</v>
      </c>
      <c r="AE18" s="16">
        <v>16</v>
      </c>
      <c r="AF18" s="17">
        <v>13.3</v>
      </c>
      <c r="AG18" s="131">
        <f t="shared" si="1"/>
        <v>147817.35652173916</v>
      </c>
      <c r="AH18" s="21" t="s">
        <v>51</v>
      </c>
      <c r="AI18" s="69" t="s">
        <v>89</v>
      </c>
      <c r="AJ18" s="61" t="s">
        <v>91</v>
      </c>
      <c r="AK18" s="57" t="s">
        <v>90</v>
      </c>
      <c r="AL18" s="58" t="s">
        <v>89</v>
      </c>
      <c r="AM18" s="71" t="s">
        <v>89</v>
      </c>
      <c r="AN18" s="47" t="s">
        <v>42</v>
      </c>
      <c r="AO18" s="47" t="s">
        <v>42</v>
      </c>
      <c r="AP18" s="47" t="s">
        <v>42</v>
      </c>
      <c r="AQ18" s="47" t="s">
        <v>42</v>
      </c>
      <c r="AR18" s="47" t="s">
        <v>42</v>
      </c>
      <c r="AS18" s="74" t="s">
        <v>42</v>
      </c>
      <c r="AT18" s="74" t="s">
        <v>42</v>
      </c>
      <c r="AU18" s="74" t="s">
        <v>42</v>
      </c>
      <c r="AV18" s="74" t="s">
        <v>42</v>
      </c>
      <c r="AW18" s="74" t="s">
        <v>42</v>
      </c>
      <c r="BA18" s="37"/>
      <c r="BB18" s="38"/>
      <c r="BC18" s="125">
        <f>5*iQFoil_b</f>
        <v>367600</v>
      </c>
      <c r="BD18" s="125">
        <v>0</v>
      </c>
      <c r="BE18" s="99">
        <f>iQFoil_b*SCM+iQFoil_b*SCM+iQFoil_b*SPS+iQFoil_b*SPS+iQFoil_b*SPS</f>
        <v>147040</v>
      </c>
      <c r="BF18" t="s">
        <v>110</v>
      </c>
    </row>
    <row r="19" spans="1:69" x14ac:dyDescent="0.25">
      <c r="A19" s="6" t="s">
        <v>65</v>
      </c>
      <c r="B19" s="7">
        <v>13.7</v>
      </c>
      <c r="C19">
        <v>14</v>
      </c>
      <c r="AE19" s="16">
        <v>17</v>
      </c>
      <c r="AF19" s="17">
        <v>13.3</v>
      </c>
      <c r="AG19" s="131">
        <f t="shared" si="1"/>
        <v>147817.35652173916</v>
      </c>
      <c r="AH19" s="21" t="s">
        <v>63</v>
      </c>
      <c r="AI19" s="73" t="s">
        <v>7</v>
      </c>
      <c r="AJ19" s="56" t="s">
        <v>4</v>
      </c>
      <c r="AK19" s="64">
        <v>0</v>
      </c>
      <c r="AL19" s="64">
        <v>0</v>
      </c>
      <c r="AM19" s="62">
        <v>0</v>
      </c>
      <c r="AN19" s="42" t="s">
        <v>89</v>
      </c>
      <c r="AO19" s="42" t="s">
        <v>89</v>
      </c>
      <c r="AP19" s="105"/>
      <c r="AQ19" s="105"/>
      <c r="AR19" s="105"/>
      <c r="AS19" s="69" t="s">
        <v>89</v>
      </c>
      <c r="AT19" s="69" t="s">
        <v>89</v>
      </c>
      <c r="AU19" s="37"/>
      <c r="AV19" s="37"/>
      <c r="AW19" s="37"/>
      <c r="AX19" s="37"/>
      <c r="AY19" s="37"/>
      <c r="AZ19" s="37"/>
      <c r="BA19" s="37"/>
      <c r="BB19" s="38"/>
      <c r="BC19" s="125"/>
      <c r="BD19" s="125">
        <f t="shared" ref="BD19:BD24" si="3">AG19-BC19</f>
        <v>147817.35652173916</v>
      </c>
      <c r="BE19" s="99">
        <f>Q_závodní*SPS+Q_závodní*SPS</f>
        <v>48840.320000000007</v>
      </c>
      <c r="BF19" t="s">
        <v>118</v>
      </c>
    </row>
    <row r="20" spans="1:69" ht="15.75" thickBot="1" x14ac:dyDescent="0.3">
      <c r="A20" s="6" t="s">
        <v>49</v>
      </c>
      <c r="B20" s="7">
        <v>13.3</v>
      </c>
      <c r="C20">
        <v>15</v>
      </c>
      <c r="AE20" s="16">
        <v>18</v>
      </c>
      <c r="AF20" s="17">
        <v>12.9</v>
      </c>
      <c r="AG20" s="131">
        <f t="shared" si="1"/>
        <v>143371.72173913047</v>
      </c>
      <c r="AH20" s="21" t="s">
        <v>62</v>
      </c>
      <c r="AI20" s="72" t="s">
        <v>4</v>
      </c>
      <c r="AJ20" s="64">
        <v>0</v>
      </c>
      <c r="AK20" s="64">
        <v>0</v>
      </c>
      <c r="AL20" s="64">
        <v>0</v>
      </c>
      <c r="AM20" s="62">
        <v>0</v>
      </c>
      <c r="AN20" s="104"/>
      <c r="AO20" s="104"/>
      <c r="AP20" s="104"/>
      <c r="AQ20" s="104"/>
      <c r="AR20" s="104"/>
      <c r="AS20" s="57" t="s">
        <v>90</v>
      </c>
      <c r="AT20" s="37"/>
      <c r="AU20" s="37"/>
      <c r="AV20" s="37"/>
      <c r="AW20" s="37"/>
      <c r="AX20" s="37"/>
      <c r="AY20" s="37"/>
      <c r="AZ20" s="37"/>
      <c r="BA20" s="37"/>
      <c r="BB20" s="38"/>
      <c r="BC20" s="125">
        <f>2*Q_závodní</f>
        <v>122100.8</v>
      </c>
      <c r="BD20" s="125">
        <f t="shared" si="3"/>
        <v>21270.92173913047</v>
      </c>
      <c r="BE20" s="99">
        <f>Q_trénink</f>
        <v>41600</v>
      </c>
    </row>
    <row r="21" spans="1:69" x14ac:dyDescent="0.25">
      <c r="A21" s="6" t="s">
        <v>51</v>
      </c>
      <c r="B21" s="7">
        <v>13.3</v>
      </c>
      <c r="C21">
        <v>16</v>
      </c>
      <c r="AE21" s="16">
        <v>19</v>
      </c>
      <c r="AF21" s="17">
        <v>12.1</v>
      </c>
      <c r="AG21" s="131">
        <f t="shared" si="1"/>
        <v>134480.45217391307</v>
      </c>
      <c r="AH21" s="21" t="s">
        <v>52</v>
      </c>
      <c r="AI21" s="69" t="s">
        <v>89</v>
      </c>
      <c r="AJ21" s="57" t="s">
        <v>90</v>
      </c>
      <c r="AK21" s="56" t="s">
        <v>4</v>
      </c>
      <c r="AL21" s="56" t="s">
        <v>4</v>
      </c>
      <c r="AM21" s="71" t="s">
        <v>89</v>
      </c>
      <c r="AN21" s="50" t="s">
        <v>4</v>
      </c>
      <c r="AO21" s="108"/>
      <c r="AP21" s="108"/>
      <c r="AQ21" s="108"/>
      <c r="AR21" s="108"/>
      <c r="AS21" s="72" t="s">
        <v>4</v>
      </c>
      <c r="AT21" s="37"/>
      <c r="AU21" s="37"/>
      <c r="AV21" s="37"/>
      <c r="AW21" s="37"/>
      <c r="AX21" s="37"/>
      <c r="AY21" s="37"/>
      <c r="AZ21" s="37"/>
      <c r="BA21" s="37"/>
      <c r="BB21" s="38"/>
      <c r="BC21" s="125"/>
      <c r="BD21" s="125">
        <f t="shared" si="3"/>
        <v>134480.45217391307</v>
      </c>
      <c r="BE21" s="99">
        <f>Laser*SCM</f>
        <v>36555.840000000004</v>
      </c>
      <c r="BF21" t="s">
        <v>107</v>
      </c>
    </row>
    <row r="22" spans="1:69" x14ac:dyDescent="0.25">
      <c r="A22" s="6" t="s">
        <v>63</v>
      </c>
      <c r="B22" s="7">
        <v>13.3</v>
      </c>
      <c r="C22">
        <v>17</v>
      </c>
      <c r="AE22" s="16">
        <v>20</v>
      </c>
      <c r="AF22" s="17">
        <v>11.7</v>
      </c>
      <c r="AG22" s="131">
        <f t="shared" si="1"/>
        <v>130034.81739130436</v>
      </c>
      <c r="AH22" s="21" t="s">
        <v>57</v>
      </c>
      <c r="AI22" s="63" t="s">
        <v>90</v>
      </c>
      <c r="AJ22" s="57" t="s">
        <v>90</v>
      </c>
      <c r="AK22" s="66" t="s">
        <v>1</v>
      </c>
      <c r="AL22" s="64">
        <v>0</v>
      </c>
      <c r="AM22" s="62">
        <v>0</v>
      </c>
      <c r="AN22" s="104"/>
      <c r="AO22" s="104"/>
      <c r="AP22" s="104"/>
      <c r="AQ22" s="104"/>
      <c r="AR22" s="104"/>
      <c r="AS22" s="57" t="s">
        <v>90</v>
      </c>
      <c r="AT22" s="37"/>
      <c r="AU22" s="37"/>
      <c r="AV22" s="37"/>
      <c r="AW22" s="37"/>
      <c r="AX22" s="37"/>
      <c r="AY22" s="37"/>
      <c r="AZ22" s="37"/>
      <c r="BA22" s="37"/>
      <c r="BB22" s="38"/>
      <c r="BC22" s="125">
        <f>Laser</f>
        <v>91389.6</v>
      </c>
      <c r="BD22" s="125">
        <f t="shared" si="3"/>
        <v>38645.217391304352</v>
      </c>
      <c r="BE22" s="99">
        <f>Q_trénink</f>
        <v>41600</v>
      </c>
    </row>
    <row r="23" spans="1:69" x14ac:dyDescent="0.25">
      <c r="A23" s="6" t="s">
        <v>62</v>
      </c>
      <c r="B23" s="7">
        <v>12.9</v>
      </c>
      <c r="C23">
        <v>18</v>
      </c>
      <c r="AE23" s="95">
        <v>21</v>
      </c>
      <c r="AF23" s="17">
        <v>10</v>
      </c>
      <c r="AG23" s="131">
        <f t="shared" si="1"/>
        <v>111140.86956521741</v>
      </c>
      <c r="AH23" s="21" t="s">
        <v>53</v>
      </c>
      <c r="AI23" s="69" t="s">
        <v>89</v>
      </c>
      <c r="AJ23" s="57" t="s">
        <v>90</v>
      </c>
      <c r="AK23" s="57" t="s">
        <v>90</v>
      </c>
      <c r="AL23" s="56" t="s">
        <v>4</v>
      </c>
      <c r="AM23" s="68" t="s">
        <v>1</v>
      </c>
      <c r="AN23" s="119"/>
      <c r="AO23" s="119"/>
      <c r="AP23" s="119"/>
      <c r="AQ23" s="119"/>
      <c r="AR23" s="119"/>
      <c r="AS23" s="57" t="s">
        <v>90</v>
      </c>
      <c r="AT23" s="37"/>
      <c r="AU23" s="37"/>
      <c r="AV23" s="37"/>
      <c r="AW23" s="37"/>
      <c r="AX23" s="37"/>
      <c r="AY23" s="37"/>
      <c r="AZ23" s="37"/>
      <c r="BA23" s="37"/>
      <c r="BB23" s="38"/>
      <c r="BC23" s="125"/>
      <c r="BD23" s="125">
        <f t="shared" si="3"/>
        <v>111140.86956521741</v>
      </c>
      <c r="BE23" s="99">
        <f>Q_trénink</f>
        <v>41600</v>
      </c>
    </row>
    <row r="24" spans="1:69" x14ac:dyDescent="0.25">
      <c r="A24" s="6"/>
      <c r="B24" s="7"/>
      <c r="AE24" s="16">
        <v>22</v>
      </c>
      <c r="AF24" s="17">
        <v>8.1999999999999993</v>
      </c>
      <c r="AG24" s="131">
        <f t="shared" si="1"/>
        <v>91135.513043478277</v>
      </c>
      <c r="AH24" s="21" t="s">
        <v>94</v>
      </c>
      <c r="AI24" s="49" t="s">
        <v>4</v>
      </c>
      <c r="AJ24" s="96"/>
      <c r="AK24" s="96"/>
      <c r="AL24" s="96"/>
      <c r="AM24" s="97"/>
      <c r="AN24" s="42" t="s">
        <v>89</v>
      </c>
      <c r="AO24" s="108"/>
      <c r="AP24" s="108"/>
      <c r="AQ24" s="108"/>
      <c r="AR24" s="108"/>
      <c r="AS24" s="69" t="s">
        <v>89</v>
      </c>
      <c r="AT24" s="37"/>
      <c r="AU24" s="37"/>
      <c r="AV24" s="37"/>
      <c r="AW24" s="37"/>
      <c r="AX24" s="37"/>
      <c r="AY24" s="37"/>
      <c r="AZ24" s="37"/>
      <c r="BA24" s="37"/>
      <c r="BB24" s="38"/>
      <c r="BC24" s="125">
        <f>Q_závodní</f>
        <v>61050.400000000001</v>
      </c>
      <c r="BD24" s="125">
        <f t="shared" si="3"/>
        <v>30085.113043478275</v>
      </c>
      <c r="BE24" s="99">
        <f>Q_závodní*SPS</f>
        <v>24420.160000000003</v>
      </c>
      <c r="BF24" t="s">
        <v>115</v>
      </c>
    </row>
    <row r="25" spans="1:69" x14ac:dyDescent="0.25">
      <c r="A25" s="6" t="s">
        <v>52</v>
      </c>
      <c r="B25" s="7">
        <v>12.1</v>
      </c>
      <c r="C25">
        <v>19</v>
      </c>
      <c r="AE25" s="16">
        <v>23</v>
      </c>
      <c r="AF25" s="17">
        <v>8.1</v>
      </c>
      <c r="AG25" s="131">
        <f t="shared" si="1"/>
        <v>90024.104347826098</v>
      </c>
      <c r="AH25" s="21" t="s">
        <v>27</v>
      </c>
      <c r="AI25" s="74" t="s">
        <v>42</v>
      </c>
      <c r="AJ25" s="61" t="s">
        <v>91</v>
      </c>
      <c r="AK25" s="65" t="s">
        <v>42</v>
      </c>
      <c r="AL25" s="61" t="s">
        <v>91</v>
      </c>
      <c r="AM25" s="75" t="s">
        <v>91</v>
      </c>
      <c r="AN25" s="47" t="s">
        <v>42</v>
      </c>
      <c r="AO25" s="47" t="s">
        <v>42</v>
      </c>
      <c r="AP25" s="47" t="s">
        <v>42</v>
      </c>
      <c r="AQ25" s="108"/>
      <c r="AR25" s="108"/>
      <c r="AS25" s="74" t="s">
        <v>42</v>
      </c>
      <c r="AT25" s="74" t="s">
        <v>42</v>
      </c>
      <c r="AU25" s="74" t="s">
        <v>42</v>
      </c>
      <c r="AV25" s="74" t="s">
        <v>42</v>
      </c>
      <c r="AZ25" s="37"/>
      <c r="BA25" s="37"/>
      <c r="BB25" s="38"/>
      <c r="BC25" s="125">
        <f>3*iQFoil_b</f>
        <v>220560</v>
      </c>
      <c r="BD25" s="125">
        <v>0</v>
      </c>
      <c r="BE25" s="99">
        <f>iQFoil_b*SCM+iQFoil_b*SCM+iQFoil_b*SPS+iQFoil_b</f>
        <v>161744</v>
      </c>
      <c r="BF25" t="s">
        <v>111</v>
      </c>
    </row>
    <row r="26" spans="1:69" x14ac:dyDescent="0.25">
      <c r="A26" s="6" t="s">
        <v>57</v>
      </c>
      <c r="B26" s="7">
        <v>11.7</v>
      </c>
      <c r="C26">
        <v>20</v>
      </c>
      <c r="AE26" s="16">
        <v>24</v>
      </c>
      <c r="AF26" s="17">
        <v>7.9</v>
      </c>
      <c r="AG26" s="131">
        <f t="shared" si="1"/>
        <v>87801.286956521755</v>
      </c>
      <c r="AH26" s="21" t="s">
        <v>11</v>
      </c>
      <c r="AI26" s="69" t="s">
        <v>89</v>
      </c>
      <c r="AJ26" s="64">
        <v>0</v>
      </c>
      <c r="AK26" s="64">
        <v>0</v>
      </c>
      <c r="AL26" s="64">
        <v>0</v>
      </c>
      <c r="AM26" s="62">
        <v>0</v>
      </c>
      <c r="AN26" s="104"/>
      <c r="AO26" s="104"/>
      <c r="AP26" s="104"/>
      <c r="AQ26" s="104"/>
      <c r="AR26" s="104"/>
      <c r="AS26" s="57" t="s">
        <v>90</v>
      </c>
      <c r="AT26" s="37"/>
      <c r="AU26" s="37"/>
      <c r="AV26" s="37"/>
      <c r="AW26" s="37"/>
      <c r="AX26" s="37"/>
      <c r="AY26" s="37"/>
      <c r="AZ26" s="37"/>
      <c r="BA26" s="37"/>
      <c r="BB26" s="38"/>
      <c r="BC26" s="125"/>
      <c r="BD26" s="125">
        <f>AG26-BC26</f>
        <v>87801.286956521755</v>
      </c>
      <c r="BE26" s="99">
        <f>Q_trénink</f>
        <v>41600</v>
      </c>
    </row>
    <row r="27" spans="1:69" x14ac:dyDescent="0.25">
      <c r="A27" s="6" t="s">
        <v>53</v>
      </c>
      <c r="B27" s="7">
        <v>10</v>
      </c>
      <c r="C27">
        <v>21</v>
      </c>
      <c r="AE27" s="16">
        <v>25</v>
      </c>
      <c r="AF27" s="17">
        <v>7.3000000000000007</v>
      </c>
      <c r="AG27" s="131">
        <f t="shared" si="1"/>
        <v>81132.834782608712</v>
      </c>
      <c r="AH27" s="21" t="s">
        <v>8</v>
      </c>
      <c r="AI27" s="69" t="s">
        <v>89</v>
      </c>
      <c r="AJ27" s="56" t="s">
        <v>4</v>
      </c>
      <c r="AK27" s="56" t="s">
        <v>4</v>
      </c>
      <c r="AL27" s="67" t="s">
        <v>7</v>
      </c>
      <c r="AM27" s="76">
        <v>0</v>
      </c>
      <c r="AN27" s="109"/>
      <c r="AO27" s="109"/>
      <c r="AP27" s="109"/>
      <c r="AQ27" s="109"/>
      <c r="AR27" s="109"/>
      <c r="AS27" s="57" t="s">
        <v>90</v>
      </c>
      <c r="AT27" s="37"/>
      <c r="AU27" s="37"/>
      <c r="AV27" s="37"/>
      <c r="AW27" s="37"/>
      <c r="AX27" s="37"/>
      <c r="AY27" s="37"/>
      <c r="AZ27" s="37"/>
      <c r="BA27" s="37"/>
      <c r="BB27" s="38"/>
      <c r="BC27" s="125"/>
      <c r="BD27" s="125">
        <f>AG27-BC27</f>
        <v>81132.834782608712</v>
      </c>
      <c r="BE27" s="99">
        <f>Q_trénink</f>
        <v>41600</v>
      </c>
    </row>
    <row r="28" spans="1:69" x14ac:dyDescent="0.25">
      <c r="A28" s="6" t="s">
        <v>27</v>
      </c>
      <c r="B28" s="7">
        <v>8.1</v>
      </c>
      <c r="C28">
        <v>22</v>
      </c>
      <c r="AE28" s="16">
        <v>26</v>
      </c>
      <c r="AF28" s="17">
        <v>5.8000000000000007</v>
      </c>
      <c r="AG28" s="131">
        <f t="shared" si="1"/>
        <v>64461.704347826104</v>
      </c>
      <c r="AH28" s="21" t="s">
        <v>23</v>
      </c>
      <c r="AI28" s="55" t="s">
        <v>1</v>
      </c>
      <c r="AJ28" s="58" t="s">
        <v>89</v>
      </c>
      <c r="AK28" s="67" t="s">
        <v>7</v>
      </c>
      <c r="AL28" s="64">
        <v>0</v>
      </c>
      <c r="AM28" s="62">
        <v>0</v>
      </c>
      <c r="AN28" s="47" t="s">
        <v>42</v>
      </c>
      <c r="AO28" s="45" t="s">
        <v>1</v>
      </c>
      <c r="AP28" s="105"/>
      <c r="AQ28" s="105"/>
      <c r="AR28" s="105"/>
      <c r="AS28" s="74" t="s">
        <v>42</v>
      </c>
      <c r="AT28" s="55" t="s">
        <v>1</v>
      </c>
      <c r="AU28" s="37"/>
      <c r="AV28" s="37"/>
      <c r="AW28" s="37"/>
      <c r="AX28" s="37"/>
      <c r="AY28" s="37"/>
      <c r="AZ28" s="37"/>
      <c r="BA28" s="37"/>
      <c r="BB28" s="38"/>
      <c r="BC28" s="125">
        <f>iQFoil_b+RS_Feva</f>
        <v>186653.6</v>
      </c>
      <c r="BD28" s="125">
        <v>0</v>
      </c>
      <c r="BE28" s="99">
        <f>iQFoil_b*SCM+RS_Feva</f>
        <v>142541.6</v>
      </c>
      <c r="BF28" t="s">
        <v>112</v>
      </c>
    </row>
    <row r="29" spans="1:69" x14ac:dyDescent="0.25">
      <c r="A29" s="6" t="s">
        <v>11</v>
      </c>
      <c r="B29" s="7">
        <v>7.9</v>
      </c>
      <c r="C29">
        <v>23</v>
      </c>
      <c r="AE29" s="16">
        <v>27</v>
      </c>
      <c r="AF29" s="17">
        <v>5.6</v>
      </c>
      <c r="AG29" s="131">
        <f t="shared" si="1"/>
        <v>62238.886956521746</v>
      </c>
      <c r="AH29" s="21" t="s">
        <v>44</v>
      </c>
      <c r="AI29" s="63" t="s">
        <v>90</v>
      </c>
      <c r="AJ29" s="66" t="s">
        <v>1</v>
      </c>
      <c r="AK29" s="56" t="s">
        <v>4</v>
      </c>
      <c r="AL29" s="64">
        <v>0</v>
      </c>
      <c r="AM29" s="62">
        <v>0</v>
      </c>
      <c r="AN29" s="104"/>
      <c r="AO29" s="104"/>
      <c r="AP29" s="104"/>
      <c r="AQ29" s="104"/>
      <c r="AR29" s="104"/>
      <c r="AS29" s="57" t="s">
        <v>90</v>
      </c>
      <c r="AT29" s="37"/>
      <c r="AU29" s="37"/>
      <c r="AV29" s="37"/>
      <c r="AW29" s="37"/>
      <c r="AX29" s="37"/>
      <c r="AY29" s="37"/>
      <c r="AZ29" s="37"/>
      <c r="BA29" s="37"/>
      <c r="BB29" s="38"/>
      <c r="BC29" s="125"/>
      <c r="BD29" s="125">
        <f>AG29-BC29</f>
        <v>62238.886956521746</v>
      </c>
      <c r="BE29" s="99">
        <f>Q_trénink</f>
        <v>41600</v>
      </c>
    </row>
    <row r="30" spans="1:69" x14ac:dyDescent="0.25">
      <c r="A30" s="6" t="s">
        <v>8</v>
      </c>
      <c r="B30" s="7">
        <v>7.3000000000000007</v>
      </c>
      <c r="C30">
        <v>24</v>
      </c>
      <c r="AE30" s="16">
        <v>28</v>
      </c>
      <c r="AF30" s="17">
        <v>2.9</v>
      </c>
      <c r="AG30" s="131">
        <f t="shared" si="1"/>
        <v>32230.852173913045</v>
      </c>
      <c r="AH30" s="21" t="s">
        <v>56</v>
      </c>
      <c r="AI30" s="72" t="s">
        <v>4</v>
      </c>
      <c r="AJ30" s="66" t="s">
        <v>1</v>
      </c>
      <c r="AK30" s="58" t="s">
        <v>89</v>
      </c>
      <c r="AL30" s="57" t="s">
        <v>90</v>
      </c>
      <c r="AM30" s="59" t="s">
        <v>7</v>
      </c>
      <c r="AN30" s="120"/>
      <c r="AO30" s="120"/>
      <c r="AP30" s="120"/>
      <c r="AQ30" s="120"/>
      <c r="AR30" s="120"/>
      <c r="AT30" s="37"/>
      <c r="AU30" s="37"/>
      <c r="AV30" s="37"/>
      <c r="AW30" s="37"/>
      <c r="AX30" s="37"/>
      <c r="AY30" s="37"/>
      <c r="AZ30" s="37"/>
      <c r="BA30" s="37"/>
      <c r="BB30" s="38"/>
      <c r="BC30" s="125"/>
      <c r="BD30" s="125">
        <f>AG30-BC30</f>
        <v>32230.852173913045</v>
      </c>
    </row>
    <row r="31" spans="1:69" x14ac:dyDescent="0.25">
      <c r="A31" s="6" t="s">
        <v>55</v>
      </c>
      <c r="B31" s="7">
        <v>5.8000000000000007</v>
      </c>
      <c r="C31">
        <v>25</v>
      </c>
      <c r="AE31" s="16">
        <v>29</v>
      </c>
      <c r="AF31" s="17">
        <v>1.5</v>
      </c>
      <c r="AG31" s="131">
        <f t="shared" si="1"/>
        <v>16671.130434782612</v>
      </c>
      <c r="AH31" s="21" t="s">
        <v>59</v>
      </c>
      <c r="AI31" s="77">
        <v>0</v>
      </c>
      <c r="AJ31" s="64">
        <v>0</v>
      </c>
      <c r="AK31" s="64">
        <v>0</v>
      </c>
      <c r="AL31" s="64">
        <v>0</v>
      </c>
      <c r="AM31" s="62">
        <v>0</v>
      </c>
      <c r="AN31" s="105"/>
      <c r="AO31" s="105"/>
      <c r="AP31" s="105"/>
      <c r="AQ31" s="105"/>
      <c r="AR31" s="105"/>
      <c r="AS31" s="36"/>
      <c r="AT31" s="37"/>
      <c r="AU31" s="37"/>
      <c r="AV31" s="37"/>
      <c r="AW31" s="37"/>
      <c r="AX31" s="37"/>
      <c r="AY31" s="37"/>
      <c r="AZ31" s="37"/>
      <c r="BA31" s="37"/>
      <c r="BB31" s="38"/>
      <c r="BC31" s="125"/>
      <c r="BD31" s="125">
        <v>0</v>
      </c>
    </row>
    <row r="32" spans="1:69" ht="15.75" thickBot="1" x14ac:dyDescent="0.3">
      <c r="A32" s="6" t="s">
        <v>44</v>
      </c>
      <c r="B32" s="7">
        <v>5.6</v>
      </c>
      <c r="C32">
        <v>26</v>
      </c>
      <c r="AE32" s="18">
        <v>30</v>
      </c>
      <c r="AF32" s="19">
        <v>-1.5</v>
      </c>
      <c r="AG32" s="132">
        <f t="shared" si="1"/>
        <v>-16671.130434782612</v>
      </c>
      <c r="AH32" s="23" t="s">
        <v>10</v>
      </c>
      <c r="AI32" s="78">
        <v>0</v>
      </c>
      <c r="AJ32" s="79">
        <v>0</v>
      </c>
      <c r="AK32" s="79">
        <v>0</v>
      </c>
      <c r="AL32" s="79">
        <v>0</v>
      </c>
      <c r="AM32" s="80">
        <v>0</v>
      </c>
      <c r="AN32" s="110"/>
      <c r="AO32" s="110"/>
      <c r="AP32" s="110"/>
      <c r="AQ32" s="110"/>
      <c r="AR32" s="110"/>
      <c r="AS32" s="39"/>
      <c r="AT32" s="40"/>
      <c r="AU32" s="40"/>
      <c r="AV32" s="40"/>
      <c r="AW32" s="40"/>
      <c r="AX32" s="40"/>
      <c r="AY32" s="40"/>
      <c r="AZ32" s="40"/>
      <c r="BA32" s="40"/>
      <c r="BB32" s="41"/>
      <c r="BC32" s="125"/>
      <c r="BD32" s="125">
        <v>0</v>
      </c>
    </row>
    <row r="33" spans="1:56" x14ac:dyDescent="0.25">
      <c r="A33" s="6" t="s">
        <v>56</v>
      </c>
      <c r="B33" s="7">
        <v>2.9</v>
      </c>
      <c r="C33">
        <v>27</v>
      </c>
      <c r="AF33" s="129">
        <v>425.5</v>
      </c>
      <c r="AG33" s="246">
        <f t="shared" si="1"/>
        <v>4729044.0000000009</v>
      </c>
      <c r="BD33" s="125">
        <f>AG33-BC33</f>
        <v>4729044.0000000009</v>
      </c>
    </row>
    <row r="34" spans="1:56" ht="14.25" customHeight="1" thickBot="1" x14ac:dyDescent="0.3">
      <c r="A34" s="6" t="s">
        <v>59</v>
      </c>
      <c r="B34" s="7">
        <v>1.5</v>
      </c>
      <c r="C34">
        <v>28</v>
      </c>
    </row>
    <row r="35" spans="1:56" ht="14.25" customHeight="1" thickBot="1" x14ac:dyDescent="0.3">
      <c r="A35" s="6" t="s">
        <v>10</v>
      </c>
      <c r="B35" s="7">
        <v>-1.5</v>
      </c>
      <c r="C35">
        <v>29</v>
      </c>
      <c r="AH35" s="13" t="s">
        <v>85</v>
      </c>
      <c r="AI35" s="7" t="s">
        <v>86</v>
      </c>
      <c r="AJ35" s="7" t="s">
        <v>87</v>
      </c>
      <c r="AK35" s="7" t="s">
        <v>88</v>
      </c>
      <c r="AL35" s="84" t="s">
        <v>92</v>
      </c>
      <c r="AM35" s="1"/>
      <c r="AN35" s="111" t="s">
        <v>123</v>
      </c>
      <c r="AO35" s="111" t="s">
        <v>126</v>
      </c>
      <c r="AP35" s="111" t="s">
        <v>127</v>
      </c>
      <c r="AQ35" s="111"/>
      <c r="AR35" s="111"/>
      <c r="AS35" s="92" t="s">
        <v>93</v>
      </c>
      <c r="AT35" s="93" t="s">
        <v>93</v>
      </c>
      <c r="AU35" s="93" t="s">
        <v>93</v>
      </c>
      <c r="AV35" s="93" t="s">
        <v>93</v>
      </c>
      <c r="AW35" s="93" t="s">
        <v>93</v>
      </c>
      <c r="AX35" s="93" t="s">
        <v>93</v>
      </c>
      <c r="AY35" s="93" t="s">
        <v>93</v>
      </c>
      <c r="AZ35" s="93" t="s">
        <v>93</v>
      </c>
      <c r="BA35" s="93" t="s">
        <v>93</v>
      </c>
      <c r="BB35" s="94" t="s">
        <v>93</v>
      </c>
      <c r="BC35" s="124"/>
      <c r="BD35" s="124"/>
    </row>
    <row r="36" spans="1:56" ht="14.25" customHeight="1" x14ac:dyDescent="0.25">
      <c r="AE36" s="127">
        <f>AF36*AI36</f>
        <v>610504</v>
      </c>
      <c r="AF36" s="126">
        <v>61050.400000000001</v>
      </c>
      <c r="AG36" s="126"/>
      <c r="AH36" s="42" t="s">
        <v>89</v>
      </c>
      <c r="AI36" s="7">
        <v>10</v>
      </c>
      <c r="AJ36" s="7">
        <f>COUNTIF($AS$3:$BB$32,AH36)</f>
        <v>8</v>
      </c>
      <c r="AK36" s="7">
        <f>AI36-AJ36</f>
        <v>2</v>
      </c>
      <c r="AL36" s="84"/>
      <c r="AM36" s="85" t="s">
        <v>89</v>
      </c>
      <c r="AN36" s="112">
        <f t="shared" ref="AN36:AN42" si="4">COUNTIF($AN$3:$AR$32,AH36)</f>
        <v>8</v>
      </c>
      <c r="AO36" s="112">
        <f>AI36</f>
        <v>10</v>
      </c>
      <c r="AP36" s="7">
        <f>AO36-AN36</f>
        <v>2</v>
      </c>
      <c r="AQ36" s="112"/>
      <c r="AR36" s="112"/>
      <c r="AS36" s="24">
        <v>9</v>
      </c>
      <c r="AT36" s="25">
        <v>1</v>
      </c>
      <c r="AU36" s="25">
        <v>0</v>
      </c>
      <c r="AV36" s="25">
        <v>0</v>
      </c>
      <c r="AW36" s="25">
        <v>0</v>
      </c>
      <c r="AX36" s="25">
        <v>0</v>
      </c>
      <c r="AY36" s="25">
        <v>0</v>
      </c>
      <c r="AZ36" s="25">
        <v>0</v>
      </c>
      <c r="BA36" s="25">
        <v>0</v>
      </c>
      <c r="BB36" s="25">
        <v>0</v>
      </c>
      <c r="BC36" s="124"/>
      <c r="BD36" s="124"/>
    </row>
    <row r="37" spans="1:56" ht="14.25" customHeight="1" x14ac:dyDescent="0.25">
      <c r="AE37" s="127">
        <f>AF37*AI37</f>
        <v>1081600</v>
      </c>
      <c r="AF37" s="126">
        <v>41600</v>
      </c>
      <c r="AG37" s="126"/>
      <c r="AH37" s="43" t="s">
        <v>90</v>
      </c>
      <c r="AI37" s="7">
        <v>26</v>
      </c>
      <c r="AJ37" s="7">
        <f t="shared" ref="AJ37:AJ42" si="5">COUNTIF($AS$3:$BB$32,AH37)</f>
        <v>26</v>
      </c>
      <c r="AK37" s="7">
        <f t="shared" ref="AK37:AK42" si="6">AI37-AJ37</f>
        <v>0</v>
      </c>
      <c r="AL37" s="84">
        <v>15</v>
      </c>
      <c r="AM37" s="86" t="s">
        <v>90</v>
      </c>
      <c r="AN37" s="113">
        <f t="shared" si="4"/>
        <v>0</v>
      </c>
      <c r="AO37" s="113">
        <f t="shared" ref="AO37:AO41" si="7">AI37</f>
        <v>26</v>
      </c>
      <c r="AP37" s="7">
        <f t="shared" ref="AP37:AP42" si="8">AO37-AN37</f>
        <v>26</v>
      </c>
      <c r="AQ37" s="113"/>
      <c r="AR37" s="113"/>
      <c r="AS37" s="26">
        <v>3</v>
      </c>
      <c r="AT37" s="7">
        <v>6</v>
      </c>
      <c r="AU37" s="7">
        <v>0</v>
      </c>
      <c r="AV37" s="7">
        <v>0</v>
      </c>
      <c r="AW37" s="7">
        <v>0</v>
      </c>
      <c r="AX37" s="7">
        <v>0</v>
      </c>
      <c r="AY37" s="7">
        <v>0</v>
      </c>
      <c r="AZ37" s="7">
        <v>0</v>
      </c>
      <c r="BA37" s="7">
        <v>0</v>
      </c>
      <c r="BB37" s="7">
        <v>0</v>
      </c>
      <c r="BC37" s="124"/>
      <c r="BD37" s="124"/>
    </row>
    <row r="38" spans="1:56" ht="14.25" customHeight="1" x14ac:dyDescent="0.25">
      <c r="AE38" s="127">
        <f>AF38*AI38</f>
        <v>548337.60000000009</v>
      </c>
      <c r="AF38" s="126">
        <v>91389.6</v>
      </c>
      <c r="AG38" s="126"/>
      <c r="AH38" s="44" t="s">
        <v>4</v>
      </c>
      <c r="AI38" s="7">
        <v>6</v>
      </c>
      <c r="AJ38" s="7">
        <f t="shared" si="5"/>
        <v>5</v>
      </c>
      <c r="AK38" s="7">
        <f t="shared" si="6"/>
        <v>1</v>
      </c>
      <c r="AL38" s="84">
        <v>19</v>
      </c>
      <c r="AM38" s="87" t="s">
        <v>4</v>
      </c>
      <c r="AN38" s="114">
        <f t="shared" si="4"/>
        <v>4</v>
      </c>
      <c r="AO38" s="114">
        <f t="shared" si="7"/>
        <v>6</v>
      </c>
      <c r="AP38" s="7">
        <f t="shared" si="8"/>
        <v>2</v>
      </c>
      <c r="AQ38" s="114"/>
      <c r="AR38" s="114"/>
      <c r="AS38" s="26">
        <v>6</v>
      </c>
      <c r="AT38" s="7">
        <v>0</v>
      </c>
      <c r="AU38" s="7">
        <v>0</v>
      </c>
      <c r="AV38" s="7">
        <v>0</v>
      </c>
      <c r="AW38" s="7">
        <v>0</v>
      </c>
      <c r="AX38" s="7">
        <v>0</v>
      </c>
      <c r="AY38" s="7">
        <v>0</v>
      </c>
      <c r="AZ38" s="7">
        <v>0</v>
      </c>
      <c r="BA38" s="7">
        <v>0</v>
      </c>
      <c r="BB38" s="7">
        <v>0</v>
      </c>
      <c r="BC38" s="124"/>
      <c r="BD38" s="124"/>
    </row>
    <row r="39" spans="1:56" ht="14.25" customHeight="1" x14ac:dyDescent="0.25">
      <c r="AE39" s="127">
        <f>AF39*AI39</f>
        <v>1018202.4</v>
      </c>
      <c r="AF39" s="126">
        <v>113133.6</v>
      </c>
      <c r="AG39" s="126"/>
      <c r="AH39" s="45" t="s">
        <v>1</v>
      </c>
      <c r="AI39" s="7">
        <v>9</v>
      </c>
      <c r="AJ39" s="7">
        <f t="shared" si="5"/>
        <v>9</v>
      </c>
      <c r="AK39" s="7">
        <f t="shared" si="6"/>
        <v>0</v>
      </c>
      <c r="AL39" s="84">
        <v>15</v>
      </c>
      <c r="AM39" s="88" t="s">
        <v>1</v>
      </c>
      <c r="AN39" s="115">
        <f t="shared" si="4"/>
        <v>8</v>
      </c>
      <c r="AO39" s="115">
        <f t="shared" si="7"/>
        <v>9</v>
      </c>
      <c r="AP39" s="7">
        <f t="shared" si="8"/>
        <v>1</v>
      </c>
      <c r="AQ39" s="115"/>
      <c r="AR39" s="115"/>
      <c r="AS39" s="26">
        <v>6</v>
      </c>
      <c r="AT39" s="7">
        <v>3</v>
      </c>
      <c r="AU39" s="7">
        <v>0</v>
      </c>
      <c r="AV39" s="7">
        <v>0</v>
      </c>
      <c r="AW39" s="7">
        <v>0</v>
      </c>
      <c r="AX39" s="7">
        <v>0</v>
      </c>
      <c r="AY39" s="7">
        <v>0</v>
      </c>
      <c r="AZ39" s="7">
        <v>0</v>
      </c>
      <c r="BA39" s="7">
        <v>0</v>
      </c>
      <c r="BB39" s="7">
        <v>0</v>
      </c>
      <c r="BC39" s="124"/>
      <c r="BD39" s="124"/>
    </row>
    <row r="40" spans="1:56" ht="14.25" customHeight="1" x14ac:dyDescent="0.25">
      <c r="B40">
        <v>18.499999999999996</v>
      </c>
      <c r="C40">
        <v>5.6</v>
      </c>
      <c r="D40">
        <v>37.700000000000003</v>
      </c>
      <c r="E40">
        <v>7.3000000000000007</v>
      </c>
      <c r="F40">
        <v>-1.5</v>
      </c>
      <c r="G40">
        <v>7.9</v>
      </c>
      <c r="H40">
        <v>18.599999999999998</v>
      </c>
      <c r="I40">
        <v>13.8</v>
      </c>
      <c r="J40">
        <v>18.7</v>
      </c>
      <c r="K40">
        <v>13.3</v>
      </c>
      <c r="L40">
        <v>44.4</v>
      </c>
      <c r="M40">
        <v>13.3</v>
      </c>
      <c r="N40">
        <v>12.1</v>
      </c>
      <c r="O40">
        <v>10</v>
      </c>
      <c r="P40">
        <v>16.600000000000001</v>
      </c>
      <c r="Q40">
        <v>5.8000000000000007</v>
      </c>
      <c r="R40">
        <v>2.9</v>
      </c>
      <c r="S40">
        <v>11.7</v>
      </c>
      <c r="T40">
        <v>14.5</v>
      </c>
      <c r="U40">
        <v>8.1</v>
      </c>
      <c r="V40">
        <v>1.5</v>
      </c>
      <c r="W40">
        <v>21.799999999999997</v>
      </c>
      <c r="X40">
        <v>14.4</v>
      </c>
      <c r="Y40">
        <v>12.9</v>
      </c>
      <c r="Z40">
        <v>13.3</v>
      </c>
      <c r="AA40">
        <v>25.5</v>
      </c>
      <c r="AB40">
        <v>13.7</v>
      </c>
      <c r="AC40">
        <v>14.7</v>
      </c>
      <c r="AD40">
        <v>20.200000000000003</v>
      </c>
      <c r="AE40" s="127"/>
      <c r="AF40" s="126"/>
      <c r="AG40" s="126"/>
      <c r="AH40" s="46" t="s">
        <v>91</v>
      </c>
      <c r="AI40" s="7">
        <v>10</v>
      </c>
      <c r="AJ40" s="7">
        <f t="shared" si="5"/>
        <v>0</v>
      </c>
      <c r="AK40" s="7">
        <f t="shared" si="6"/>
        <v>10</v>
      </c>
      <c r="AL40" s="84">
        <v>8</v>
      </c>
      <c r="AM40" s="89" t="s">
        <v>91</v>
      </c>
      <c r="AN40" s="116">
        <f t="shared" si="4"/>
        <v>0</v>
      </c>
      <c r="AO40" s="116"/>
      <c r="AP40" s="7">
        <f t="shared" si="8"/>
        <v>0</v>
      </c>
      <c r="AQ40" s="116"/>
      <c r="AR40" s="116"/>
      <c r="AS40" s="26">
        <v>1</v>
      </c>
      <c r="AT40" s="7">
        <v>5</v>
      </c>
      <c r="AU40" s="7">
        <v>0</v>
      </c>
      <c r="AV40" s="7">
        <v>0</v>
      </c>
      <c r="AW40" s="7">
        <v>0</v>
      </c>
      <c r="AX40" s="7">
        <v>0</v>
      </c>
      <c r="AY40" s="7">
        <v>0</v>
      </c>
      <c r="AZ40" s="7">
        <v>0</v>
      </c>
      <c r="BA40" s="7">
        <v>0</v>
      </c>
      <c r="BB40" s="7">
        <v>0</v>
      </c>
      <c r="BC40" s="124"/>
      <c r="BD40" s="124"/>
    </row>
    <row r="41" spans="1:56" ht="14.25" customHeight="1" x14ac:dyDescent="0.25">
      <c r="B41" s="5" t="s">
        <v>43</v>
      </c>
      <c r="C41" s="6" t="s">
        <v>44</v>
      </c>
      <c r="D41" s="6" t="s">
        <v>45</v>
      </c>
      <c r="E41" s="6" t="s">
        <v>8</v>
      </c>
      <c r="F41" s="6" t="s">
        <v>10</v>
      </c>
      <c r="G41" s="6" t="s">
        <v>11</v>
      </c>
      <c r="H41" s="6" t="s">
        <v>46</v>
      </c>
      <c r="I41" s="6" t="s">
        <v>47</v>
      </c>
      <c r="J41" s="6" t="s">
        <v>48</v>
      </c>
      <c r="K41" s="6" t="s">
        <v>49</v>
      </c>
      <c r="L41" s="6" t="s">
        <v>50</v>
      </c>
      <c r="M41" s="6" t="s">
        <v>51</v>
      </c>
      <c r="N41" s="6" t="s">
        <v>52</v>
      </c>
      <c r="O41" s="6" t="s">
        <v>53</v>
      </c>
      <c r="P41" s="6" t="s">
        <v>54</v>
      </c>
      <c r="Q41" s="6" t="s">
        <v>23</v>
      </c>
      <c r="R41" s="6" t="s">
        <v>56</v>
      </c>
      <c r="S41" s="6" t="s">
        <v>57</v>
      </c>
      <c r="T41" s="6" t="s">
        <v>58</v>
      </c>
      <c r="U41" s="6" t="s">
        <v>27</v>
      </c>
      <c r="V41" s="6" t="s">
        <v>59</v>
      </c>
      <c r="W41" s="6" t="s">
        <v>60</v>
      </c>
      <c r="X41" s="6" t="s">
        <v>61</v>
      </c>
      <c r="Y41" s="6" t="s">
        <v>62</v>
      </c>
      <c r="Z41" s="6" t="s">
        <v>63</v>
      </c>
      <c r="AA41" s="6" t="s">
        <v>64</v>
      </c>
      <c r="AB41" s="6" t="s">
        <v>65</v>
      </c>
      <c r="AC41" s="6" t="s">
        <v>66</v>
      </c>
      <c r="AD41" s="6" t="s">
        <v>69</v>
      </c>
      <c r="AE41" s="127">
        <f>AF41*AI41</f>
        <v>1470400</v>
      </c>
      <c r="AF41" s="126">
        <v>73520</v>
      </c>
      <c r="AG41" s="126"/>
      <c r="AH41" s="47" t="s">
        <v>42</v>
      </c>
      <c r="AI41" s="7">
        <v>20</v>
      </c>
      <c r="AJ41" s="7">
        <f t="shared" si="5"/>
        <v>16</v>
      </c>
      <c r="AK41" s="7">
        <f t="shared" si="6"/>
        <v>4</v>
      </c>
      <c r="AL41" s="84">
        <v>3</v>
      </c>
      <c r="AM41" s="90" t="s">
        <v>42</v>
      </c>
      <c r="AN41" s="117">
        <f t="shared" si="4"/>
        <v>14</v>
      </c>
      <c r="AO41" s="117">
        <f t="shared" si="7"/>
        <v>20</v>
      </c>
      <c r="AP41" s="7">
        <f t="shared" si="8"/>
        <v>6</v>
      </c>
      <c r="AQ41" s="117"/>
      <c r="AR41" s="117"/>
      <c r="AS41" s="26">
        <v>1</v>
      </c>
      <c r="AT41" s="7">
        <v>0</v>
      </c>
      <c r="AU41" s="7">
        <v>0</v>
      </c>
      <c r="AV41" s="7">
        <v>0</v>
      </c>
      <c r="AW41" s="7">
        <v>0</v>
      </c>
      <c r="AX41" s="7">
        <v>0</v>
      </c>
      <c r="AY41" s="7">
        <v>0</v>
      </c>
      <c r="AZ41" s="7">
        <v>0</v>
      </c>
      <c r="BA41" s="7">
        <v>0</v>
      </c>
      <c r="BB41" s="7">
        <v>0</v>
      </c>
      <c r="BC41" s="124"/>
      <c r="BD41" s="124"/>
    </row>
    <row r="42" spans="1:56" ht="14.25" customHeight="1" thickBot="1" x14ac:dyDescent="0.3">
      <c r="B42" s="9" t="s">
        <v>12</v>
      </c>
      <c r="C42" s="10" t="s">
        <v>0</v>
      </c>
      <c r="D42" s="10" t="s">
        <v>1</v>
      </c>
      <c r="E42" s="11" t="s">
        <v>9</v>
      </c>
      <c r="F42" s="10">
        <v>0</v>
      </c>
      <c r="G42" s="10" t="s">
        <v>12</v>
      </c>
      <c r="H42" s="10" t="s">
        <v>1</v>
      </c>
      <c r="I42" s="10" t="s">
        <v>14</v>
      </c>
      <c r="J42" s="10" t="s">
        <v>1</v>
      </c>
      <c r="K42" s="10" t="s">
        <v>17</v>
      </c>
      <c r="L42" s="10" t="s">
        <v>4</v>
      </c>
      <c r="M42" s="10" t="s">
        <v>3</v>
      </c>
      <c r="N42" s="10" t="s">
        <v>36</v>
      </c>
      <c r="O42" s="10" t="s">
        <v>12</v>
      </c>
      <c r="P42" s="10" t="s">
        <v>1</v>
      </c>
      <c r="Q42" s="10" t="s">
        <v>1</v>
      </c>
      <c r="R42" s="10" t="s">
        <v>4</v>
      </c>
      <c r="S42" s="10" t="s">
        <v>25</v>
      </c>
      <c r="T42" s="10" t="s">
        <v>26</v>
      </c>
      <c r="U42" s="12" t="s">
        <v>28</v>
      </c>
      <c r="V42" s="10">
        <v>0</v>
      </c>
      <c r="W42" s="10" t="s">
        <v>0</v>
      </c>
      <c r="X42" s="10" t="s">
        <v>4</v>
      </c>
      <c r="Y42" s="10" t="s">
        <v>31</v>
      </c>
      <c r="Z42" s="10" t="s">
        <v>7</v>
      </c>
      <c r="AA42" s="12" t="s">
        <v>22</v>
      </c>
      <c r="AB42" s="10" t="s">
        <v>9</v>
      </c>
      <c r="AC42" s="10" t="s">
        <v>12</v>
      </c>
      <c r="AD42" s="8" t="s">
        <v>68</v>
      </c>
      <c r="AF42" s="126"/>
      <c r="AG42" s="126"/>
      <c r="AH42" s="48" t="s">
        <v>7</v>
      </c>
      <c r="AI42" s="7">
        <v>4</v>
      </c>
      <c r="AJ42" s="7">
        <f t="shared" si="5"/>
        <v>0</v>
      </c>
      <c r="AK42" s="7">
        <f t="shared" si="6"/>
        <v>4</v>
      </c>
      <c r="AL42" s="84">
        <v>8</v>
      </c>
      <c r="AM42" s="91" t="s">
        <v>7</v>
      </c>
      <c r="AN42" s="118">
        <f t="shared" si="4"/>
        <v>0</v>
      </c>
      <c r="AO42" s="118"/>
      <c r="AP42" s="7">
        <f t="shared" si="8"/>
        <v>0</v>
      </c>
      <c r="AQ42" s="118"/>
      <c r="AR42" s="118"/>
      <c r="AS42" s="26">
        <v>1</v>
      </c>
      <c r="AT42" s="7">
        <v>0</v>
      </c>
      <c r="AU42" s="7">
        <v>0</v>
      </c>
      <c r="AV42" s="7">
        <v>0</v>
      </c>
      <c r="AW42" s="7">
        <v>0</v>
      </c>
      <c r="AX42" s="7">
        <v>0</v>
      </c>
      <c r="AY42" s="7">
        <v>0</v>
      </c>
      <c r="AZ42" s="7">
        <v>0</v>
      </c>
      <c r="BA42" s="7">
        <v>0</v>
      </c>
      <c r="BB42" s="7">
        <v>0</v>
      </c>
      <c r="BC42" s="124"/>
      <c r="BD42" s="124"/>
    </row>
    <row r="43" spans="1:56" ht="90" x14ac:dyDescent="0.25">
      <c r="B43" s="9" t="s">
        <v>35</v>
      </c>
      <c r="C43" s="10" t="s">
        <v>1</v>
      </c>
      <c r="D43" s="10" t="s">
        <v>4</v>
      </c>
      <c r="E43" s="11" t="s">
        <v>4</v>
      </c>
      <c r="F43" s="10">
        <v>0</v>
      </c>
      <c r="G43" s="10">
        <v>0</v>
      </c>
      <c r="H43" s="10" t="s">
        <v>1</v>
      </c>
      <c r="I43" s="10">
        <v>0</v>
      </c>
      <c r="J43" s="12" t="s">
        <v>15</v>
      </c>
      <c r="K43" s="10">
        <v>0</v>
      </c>
      <c r="L43" s="10" t="s">
        <v>18</v>
      </c>
      <c r="M43" s="12" t="s">
        <v>19</v>
      </c>
      <c r="N43" s="10" t="s">
        <v>37</v>
      </c>
      <c r="O43" s="10" t="s">
        <v>0</v>
      </c>
      <c r="P43" s="10" t="s">
        <v>38</v>
      </c>
      <c r="Q43" s="10" t="s">
        <v>41</v>
      </c>
      <c r="R43" s="10" t="s">
        <v>24</v>
      </c>
      <c r="S43" s="10" t="s">
        <v>25</v>
      </c>
      <c r="T43" s="10" t="s">
        <v>1</v>
      </c>
      <c r="U43" s="10" t="s">
        <v>29</v>
      </c>
      <c r="V43" s="10">
        <v>0</v>
      </c>
      <c r="W43" s="10" t="s">
        <v>4</v>
      </c>
      <c r="X43" s="10" t="s">
        <v>30</v>
      </c>
      <c r="Y43" s="10">
        <v>0</v>
      </c>
      <c r="Z43" s="10" t="s">
        <v>4</v>
      </c>
      <c r="AA43" s="12" t="s">
        <v>22</v>
      </c>
      <c r="AB43" s="12" t="s">
        <v>22</v>
      </c>
      <c r="AC43" s="10" t="s">
        <v>33</v>
      </c>
      <c r="AD43" s="8" t="s">
        <v>12</v>
      </c>
      <c r="AE43" s="127">
        <f>SUM(AE36:AE42)</f>
        <v>4729044</v>
      </c>
    </row>
    <row r="44" spans="1:56" ht="45" x14ac:dyDescent="0.25">
      <c r="B44" s="9" t="s">
        <v>34</v>
      </c>
      <c r="C44" s="10" t="s">
        <v>2</v>
      </c>
      <c r="D44" s="10" t="s">
        <v>5</v>
      </c>
      <c r="E44" s="11" t="s">
        <v>4</v>
      </c>
      <c r="F44" s="10">
        <v>0</v>
      </c>
      <c r="G44" s="10">
        <v>0</v>
      </c>
      <c r="H44" s="10" t="s">
        <v>7</v>
      </c>
      <c r="I44" s="10">
        <v>0</v>
      </c>
      <c r="J44" s="12" t="s">
        <v>16</v>
      </c>
      <c r="K44" s="10">
        <v>0</v>
      </c>
      <c r="L44" s="10" t="s">
        <v>67</v>
      </c>
      <c r="M44" s="10" t="s">
        <v>20</v>
      </c>
      <c r="N44" s="10" t="s">
        <v>21</v>
      </c>
      <c r="O44" s="10" t="s">
        <v>0</v>
      </c>
      <c r="P44" s="10" t="s">
        <v>39</v>
      </c>
      <c r="Q44" s="10" t="s">
        <v>40</v>
      </c>
      <c r="R44" s="10" t="s">
        <v>12</v>
      </c>
      <c r="S44" s="10" t="s">
        <v>1</v>
      </c>
      <c r="T44" s="10">
        <v>0</v>
      </c>
      <c r="U44" s="10" t="s">
        <v>29</v>
      </c>
      <c r="V44" s="10">
        <v>0</v>
      </c>
      <c r="W44" s="10">
        <v>0</v>
      </c>
      <c r="X44" s="10" t="s">
        <v>13</v>
      </c>
      <c r="Y44" s="10">
        <v>0</v>
      </c>
      <c r="Z44" s="10">
        <v>0</v>
      </c>
      <c r="AA44" s="10" t="s">
        <v>25</v>
      </c>
      <c r="AB44" s="10">
        <v>0</v>
      </c>
      <c r="AC44" s="10" t="s">
        <v>12</v>
      </c>
      <c r="AD44" s="8">
        <v>0</v>
      </c>
    </row>
    <row r="45" spans="1:56" ht="45" x14ac:dyDescent="0.25">
      <c r="B45" s="9" t="s">
        <v>35</v>
      </c>
      <c r="C45" s="10">
        <v>0</v>
      </c>
      <c r="D45" s="10" t="s">
        <v>6</v>
      </c>
      <c r="E45" s="11" t="s">
        <v>7</v>
      </c>
      <c r="F45" s="10">
        <v>0</v>
      </c>
      <c r="G45" s="10">
        <v>0</v>
      </c>
      <c r="H45" s="10" t="s">
        <v>4</v>
      </c>
      <c r="I45" s="10">
        <v>0</v>
      </c>
      <c r="J45" s="10" t="s">
        <v>9</v>
      </c>
      <c r="K45" s="10">
        <v>0</v>
      </c>
      <c r="L45" s="10">
        <v>0</v>
      </c>
      <c r="M45" s="10" t="s">
        <v>3</v>
      </c>
      <c r="N45" s="10" t="s">
        <v>36</v>
      </c>
      <c r="O45" s="10" t="s">
        <v>4</v>
      </c>
      <c r="P45" s="10">
        <v>0</v>
      </c>
      <c r="Q45" s="10">
        <v>0</v>
      </c>
      <c r="R45" s="10" t="s">
        <v>25</v>
      </c>
      <c r="S45" s="10">
        <v>0</v>
      </c>
      <c r="T45" s="10">
        <v>0</v>
      </c>
      <c r="U45" s="10" t="s">
        <v>29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 t="s">
        <v>12</v>
      </c>
      <c r="AB45" s="10">
        <v>0</v>
      </c>
      <c r="AC45" s="10" t="s">
        <v>12</v>
      </c>
      <c r="AD45" s="8">
        <v>0</v>
      </c>
    </row>
    <row r="46" spans="1:56" ht="45" x14ac:dyDescent="0.25">
      <c r="B46" s="9">
        <v>0</v>
      </c>
      <c r="C46" s="10">
        <v>0</v>
      </c>
      <c r="D46" s="10" t="s">
        <v>7</v>
      </c>
      <c r="E46" s="11">
        <v>0</v>
      </c>
      <c r="F46" s="10">
        <v>0</v>
      </c>
      <c r="G46" s="10">
        <v>0</v>
      </c>
      <c r="H46" s="10" t="s">
        <v>13</v>
      </c>
      <c r="I46" s="10">
        <v>0</v>
      </c>
      <c r="J46" s="10">
        <v>0</v>
      </c>
      <c r="K46" s="10">
        <v>0</v>
      </c>
      <c r="L46" s="10">
        <v>0</v>
      </c>
      <c r="M46" s="10" t="s">
        <v>3</v>
      </c>
      <c r="N46" s="10" t="s">
        <v>37</v>
      </c>
      <c r="O46" s="10" t="s">
        <v>1</v>
      </c>
      <c r="P46" s="10">
        <v>0</v>
      </c>
      <c r="Q46" s="10">
        <v>0</v>
      </c>
      <c r="R46" s="10" t="s">
        <v>7</v>
      </c>
      <c r="S46" s="10">
        <v>0</v>
      </c>
      <c r="T46" s="10">
        <v>0</v>
      </c>
      <c r="U46" s="10" t="s">
        <v>29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 t="s">
        <v>32</v>
      </c>
      <c r="AB46" s="10">
        <v>0</v>
      </c>
      <c r="AC46" s="10" t="s">
        <v>12</v>
      </c>
      <c r="AD46" s="8">
        <v>0</v>
      </c>
    </row>
  </sheetData>
  <sortState ref="AE1:BQ33">
    <sortCondition descending="1" ref="AF1"/>
  </sortState>
  <mergeCells count="1">
    <mergeCell ref="AN1:AQ1"/>
  </mergeCells>
  <conditionalFormatting sqref="AK36:AK42">
    <cfRule type="cellIs" dxfId="16" priority="4" operator="equal">
      <formula>0</formula>
    </cfRule>
    <cfRule type="cellIs" dxfId="15" priority="5" operator="lessThan">
      <formula>0</formula>
    </cfRule>
    <cfRule type="cellIs" dxfId="14" priority="6" operator="greaterThan">
      <formula>0</formula>
    </cfRule>
  </conditionalFormatting>
  <conditionalFormatting sqref="AP36:AP42">
    <cfRule type="cellIs" dxfId="13" priority="1" operator="equal">
      <formula>0</formula>
    </cfRule>
    <cfRule type="cellIs" dxfId="12" priority="2" operator="lessThan">
      <formula>0</formula>
    </cfRule>
    <cfRule type="cellIs" dxfId="11" priority="3" operator="greaterThan">
      <formula>0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"/>
  <sheetViews>
    <sheetView tabSelected="1" topLeftCell="A12" zoomScale="80" zoomScaleNormal="80" workbookViewId="0">
      <selection activeCell="K36" sqref="K36"/>
    </sheetView>
  </sheetViews>
  <sheetFormatPr defaultRowHeight="15" x14ac:dyDescent="0.25"/>
  <cols>
    <col min="1" max="1" width="19.7109375" customWidth="1"/>
    <col min="2" max="2" width="16.42578125" hidden="1" customWidth="1"/>
    <col min="3" max="10" width="15.7109375" customWidth="1"/>
    <col min="11" max="11" width="15.140625" bestFit="1" customWidth="1"/>
    <col min="16" max="16" width="12.42578125" bestFit="1" customWidth="1"/>
    <col min="17" max="17" width="13.85546875" bestFit="1" customWidth="1"/>
    <col min="18" max="18" width="15.140625" bestFit="1" customWidth="1"/>
  </cols>
  <sheetData>
    <row r="1" spans="1:18" ht="15.75" thickBot="1" x14ac:dyDescent="0.3">
      <c r="A1" s="191" t="s">
        <v>70</v>
      </c>
      <c r="B1" s="4" t="s">
        <v>133</v>
      </c>
      <c r="C1" s="250" t="s">
        <v>123</v>
      </c>
      <c r="D1" s="251"/>
      <c r="E1" s="251"/>
      <c r="F1" s="251"/>
      <c r="G1" s="252"/>
      <c r="H1" s="192" t="s">
        <v>74</v>
      </c>
      <c r="I1" s="193" t="s">
        <v>75</v>
      </c>
      <c r="J1" s="194" t="s">
        <v>132</v>
      </c>
      <c r="K1" s="182" t="s">
        <v>134</v>
      </c>
      <c r="L1" s="182" t="s">
        <v>141</v>
      </c>
      <c r="N1" s="182"/>
      <c r="O1" s="182"/>
    </row>
    <row r="2" spans="1:18" ht="30.75" thickBot="1" x14ac:dyDescent="0.3">
      <c r="A2" s="244" t="s">
        <v>64</v>
      </c>
      <c r="B2" s="201">
        <v>283409.21739130438</v>
      </c>
      <c r="C2" s="202"/>
      <c r="D2" s="203"/>
      <c r="E2" s="203"/>
      <c r="F2" s="203"/>
      <c r="G2" s="204"/>
      <c r="H2" s="205" t="s">
        <v>90</v>
      </c>
      <c r="I2" s="206" t="s">
        <v>90</v>
      </c>
      <c r="J2" s="207" t="s">
        <v>90</v>
      </c>
      <c r="K2" s="208">
        <f>3*Q8</f>
        <v>31200</v>
      </c>
      <c r="L2" s="231" t="s">
        <v>142</v>
      </c>
    </row>
    <row r="3" spans="1:18" ht="30.75" thickBot="1" x14ac:dyDescent="0.3">
      <c r="A3" s="244" t="s">
        <v>50</v>
      </c>
      <c r="B3" s="201">
        <v>249635.86086956525</v>
      </c>
      <c r="C3" s="209" t="s">
        <v>4</v>
      </c>
      <c r="D3" s="210" t="s">
        <v>4</v>
      </c>
      <c r="E3" s="211" t="s">
        <v>89</v>
      </c>
      <c r="F3" s="203"/>
      <c r="G3" s="204"/>
      <c r="H3" s="209" t="s">
        <v>4</v>
      </c>
      <c r="I3" s="206" t="s">
        <v>90</v>
      </c>
      <c r="J3" s="207" t="s">
        <v>90</v>
      </c>
      <c r="K3" s="208">
        <f>3*Q4+Q7+Q8+Q8</f>
        <v>104604.80000000002</v>
      </c>
      <c r="L3" s="231" t="s">
        <v>142</v>
      </c>
      <c r="P3" s="238" t="s">
        <v>85</v>
      </c>
      <c r="Q3" s="239" t="s">
        <v>139</v>
      </c>
      <c r="R3" s="240" t="s">
        <v>140</v>
      </c>
    </row>
    <row r="4" spans="1:18" ht="30.75" thickBot="1" x14ac:dyDescent="0.3">
      <c r="A4" s="244" t="s">
        <v>60</v>
      </c>
      <c r="B4" s="201">
        <v>242287.09565217391</v>
      </c>
      <c r="C4" s="202"/>
      <c r="D4" s="203"/>
      <c r="E4" s="203"/>
      <c r="F4" s="203"/>
      <c r="G4" s="204"/>
      <c r="H4" s="205" t="s">
        <v>90</v>
      </c>
      <c r="I4" s="206" t="s">
        <v>90</v>
      </c>
      <c r="J4" s="212"/>
      <c r="K4" s="208">
        <f>Q8+Q8</f>
        <v>20800</v>
      </c>
      <c r="L4" s="231" t="s">
        <v>142</v>
      </c>
      <c r="P4" s="50" t="s">
        <v>4</v>
      </c>
      <c r="Q4" s="160">
        <v>22847.4</v>
      </c>
      <c r="R4" s="233">
        <v>114237</v>
      </c>
    </row>
    <row r="5" spans="1:18" ht="30.75" thickBot="1" x14ac:dyDescent="0.3">
      <c r="A5" s="245" t="s">
        <v>43</v>
      </c>
      <c r="B5" s="201">
        <v>205610.60869565216</v>
      </c>
      <c r="C5" s="213"/>
      <c r="D5" s="214"/>
      <c r="E5" s="214"/>
      <c r="F5" s="214"/>
      <c r="G5" s="215"/>
      <c r="H5" s="216" t="s">
        <v>89</v>
      </c>
      <c r="I5" s="206" t="s">
        <v>90</v>
      </c>
      <c r="J5" s="207" t="s">
        <v>90</v>
      </c>
      <c r="K5" s="208">
        <f>Q7+Q8+Q8</f>
        <v>36062.6</v>
      </c>
      <c r="L5" s="231" t="s">
        <v>142</v>
      </c>
      <c r="P5" s="183" t="s">
        <v>42</v>
      </c>
      <c r="Q5" s="234">
        <v>18380</v>
      </c>
      <c r="R5" s="184">
        <v>91900</v>
      </c>
    </row>
    <row r="6" spans="1:18" ht="15.75" thickBot="1" x14ac:dyDescent="0.3">
      <c r="A6" s="244" t="s">
        <v>58</v>
      </c>
      <c r="B6" s="201">
        <v>161154.26086956525</v>
      </c>
      <c r="C6" s="209" t="s">
        <v>4</v>
      </c>
      <c r="D6" s="217" t="s">
        <v>42</v>
      </c>
      <c r="E6" s="217" t="s">
        <v>42</v>
      </c>
      <c r="F6" s="217" t="s">
        <v>42</v>
      </c>
      <c r="G6" s="218"/>
      <c r="H6" s="223"/>
      <c r="I6" s="221"/>
      <c r="J6" s="219"/>
      <c r="K6" s="208">
        <f>Q4+Q5+Q5+Q5</f>
        <v>77987.399999999994</v>
      </c>
      <c r="L6" s="231" t="s">
        <v>142</v>
      </c>
      <c r="P6" s="185" t="s">
        <v>1</v>
      </c>
      <c r="Q6" s="235">
        <v>28283.4</v>
      </c>
      <c r="R6" s="186">
        <v>141417</v>
      </c>
    </row>
    <row r="7" spans="1:18" ht="15.75" thickBot="1" x14ac:dyDescent="0.3">
      <c r="A7" s="244" t="s">
        <v>61</v>
      </c>
      <c r="B7" s="201">
        <v>160042.85217391307</v>
      </c>
      <c r="C7" s="202"/>
      <c r="D7" s="203"/>
      <c r="E7" s="203"/>
      <c r="F7" s="203"/>
      <c r="G7" s="204"/>
      <c r="H7" s="209" t="s">
        <v>4</v>
      </c>
      <c r="I7" s="220"/>
      <c r="J7" s="212"/>
      <c r="K7" s="208">
        <f>Q4</f>
        <v>22847.4</v>
      </c>
      <c r="L7" s="231" t="s">
        <v>142</v>
      </c>
      <c r="P7" s="187" t="s">
        <v>135</v>
      </c>
      <c r="Q7" s="236">
        <v>15262.6</v>
      </c>
      <c r="R7" s="188">
        <v>76313</v>
      </c>
    </row>
    <row r="8" spans="1:18" ht="30.75" thickBot="1" x14ac:dyDescent="0.3">
      <c r="A8" s="244" t="s">
        <v>47</v>
      </c>
      <c r="B8" s="201">
        <v>153374.40000000005</v>
      </c>
      <c r="C8" s="202"/>
      <c r="D8" s="203"/>
      <c r="E8" s="203"/>
      <c r="F8" s="203"/>
      <c r="G8" s="204"/>
      <c r="H8" s="216" t="s">
        <v>89</v>
      </c>
      <c r="I8" s="206" t="s">
        <v>90</v>
      </c>
      <c r="J8" s="212"/>
      <c r="K8" s="208">
        <f>Q7+Q8</f>
        <v>25662.6</v>
      </c>
      <c r="L8" s="231" t="s">
        <v>142</v>
      </c>
      <c r="P8" s="189" t="s">
        <v>136</v>
      </c>
      <c r="Q8" s="237">
        <v>10400</v>
      </c>
      <c r="R8" s="190">
        <v>52000</v>
      </c>
    </row>
    <row r="9" spans="1:18" ht="30.75" thickBot="1" x14ac:dyDescent="0.3">
      <c r="A9" s="244" t="s">
        <v>65</v>
      </c>
      <c r="B9" s="201">
        <v>152262.99130434784</v>
      </c>
      <c r="C9" s="202"/>
      <c r="D9" s="203"/>
      <c r="E9" s="203"/>
      <c r="F9" s="203"/>
      <c r="G9" s="204"/>
      <c r="H9" s="205" t="s">
        <v>90</v>
      </c>
      <c r="I9" s="206" t="s">
        <v>90</v>
      </c>
      <c r="J9" s="212"/>
      <c r="K9" s="208">
        <f>Q8+Q8</f>
        <v>20800</v>
      </c>
      <c r="L9" s="231" t="s">
        <v>142</v>
      </c>
    </row>
    <row r="10" spans="1:18" ht="30.75" thickBot="1" x14ac:dyDescent="0.3">
      <c r="A10" s="244" t="s">
        <v>63</v>
      </c>
      <c r="B10" s="201">
        <v>147817.35652173916</v>
      </c>
      <c r="C10" s="216" t="s">
        <v>89</v>
      </c>
      <c r="D10" s="211" t="s">
        <v>89</v>
      </c>
      <c r="E10" s="203"/>
      <c r="F10" s="203"/>
      <c r="G10" s="204"/>
      <c r="H10" s="223"/>
      <c r="I10" s="220"/>
      <c r="J10" s="212"/>
      <c r="K10" s="208">
        <f>2*Q7</f>
        <v>30525.200000000001</v>
      </c>
      <c r="L10" s="231" t="s">
        <v>142</v>
      </c>
    </row>
    <row r="11" spans="1:18" ht="30.75" thickBot="1" x14ac:dyDescent="0.3">
      <c r="A11" s="244" t="s">
        <v>52</v>
      </c>
      <c r="B11" s="201">
        <v>134480.45217391307</v>
      </c>
      <c r="C11" s="209" t="s">
        <v>4</v>
      </c>
      <c r="D11" s="221"/>
      <c r="E11" s="221"/>
      <c r="F11" s="221"/>
      <c r="G11" s="218"/>
      <c r="H11" s="222" t="s">
        <v>90</v>
      </c>
      <c r="I11" s="206" t="s">
        <v>90</v>
      </c>
      <c r="J11" s="212"/>
      <c r="K11" s="208">
        <f>Q4+Q8+Q8</f>
        <v>43647.4</v>
      </c>
      <c r="L11" s="231" t="s">
        <v>142</v>
      </c>
    </row>
    <row r="12" spans="1:18" ht="30.75" thickBot="1" x14ac:dyDescent="0.3">
      <c r="A12" s="244" t="s">
        <v>53</v>
      </c>
      <c r="B12" s="201">
        <v>111140.86956521741</v>
      </c>
      <c r="C12" s="223"/>
      <c r="D12" s="221"/>
      <c r="E12" s="221"/>
      <c r="F12" s="221"/>
      <c r="G12" s="218"/>
      <c r="H12" s="205" t="s">
        <v>90</v>
      </c>
      <c r="I12" s="206" t="s">
        <v>90</v>
      </c>
      <c r="J12" s="212"/>
      <c r="K12" s="208">
        <f>Q8+Q8</f>
        <v>20800</v>
      </c>
      <c r="L12" s="231" t="s">
        <v>142</v>
      </c>
    </row>
    <row r="13" spans="1:18" ht="30.75" thickBot="1" x14ac:dyDescent="0.3">
      <c r="A13" s="244" t="s">
        <v>66</v>
      </c>
      <c r="B13" s="201">
        <v>102326.67826086958</v>
      </c>
      <c r="C13" s="216" t="s">
        <v>89</v>
      </c>
      <c r="D13" s="221"/>
      <c r="E13" s="221"/>
      <c r="F13" s="221"/>
      <c r="G13" s="218"/>
      <c r="H13" s="205" t="s">
        <v>90</v>
      </c>
      <c r="I13" s="206" t="s">
        <v>90</v>
      </c>
      <c r="J13" s="212"/>
      <c r="K13" s="208">
        <f>Q7+Q8+Q8</f>
        <v>36062.6</v>
      </c>
      <c r="L13" s="231" t="s">
        <v>142</v>
      </c>
    </row>
    <row r="14" spans="1:18" ht="30.75" thickBot="1" x14ac:dyDescent="0.3">
      <c r="A14" s="244" t="s">
        <v>45</v>
      </c>
      <c r="B14" s="201">
        <v>97777.078260869603</v>
      </c>
      <c r="C14" s="224" t="s">
        <v>42</v>
      </c>
      <c r="D14" s="217" t="s">
        <v>42</v>
      </c>
      <c r="E14" s="211" t="s">
        <v>89</v>
      </c>
      <c r="F14" s="225" t="s">
        <v>1</v>
      </c>
      <c r="G14" s="232" t="s">
        <v>42</v>
      </c>
      <c r="H14" s="205" t="s">
        <v>90</v>
      </c>
      <c r="I14" s="220"/>
      <c r="J14" s="212"/>
      <c r="K14" s="208">
        <f>Q5+Q5+Q7+Q6+Q5</f>
        <v>98686</v>
      </c>
      <c r="L14" s="231" t="s">
        <v>142</v>
      </c>
    </row>
    <row r="15" spans="1:18" ht="30.75" thickBot="1" x14ac:dyDescent="0.3">
      <c r="A15" s="244" t="s">
        <v>48</v>
      </c>
      <c r="B15" s="201">
        <v>94699.826086956542</v>
      </c>
      <c r="C15" s="226" t="s">
        <v>1</v>
      </c>
      <c r="D15" s="203"/>
      <c r="E15" s="203"/>
      <c r="F15" s="203"/>
      <c r="G15" s="204"/>
      <c r="H15" s="205" t="s">
        <v>90</v>
      </c>
      <c r="I15" s="220"/>
      <c r="J15" s="212"/>
      <c r="K15" s="208">
        <f>Q8+Q6</f>
        <v>38683.4</v>
      </c>
      <c r="L15" s="231" t="s">
        <v>142</v>
      </c>
    </row>
    <row r="16" spans="1:18" ht="30.75" thickBot="1" x14ac:dyDescent="0.3">
      <c r="A16" s="244" t="s">
        <v>11</v>
      </c>
      <c r="B16" s="201">
        <v>87801.286956521755</v>
      </c>
      <c r="C16" s="202"/>
      <c r="D16" s="203"/>
      <c r="E16" s="203"/>
      <c r="F16" s="203"/>
      <c r="G16" s="204"/>
      <c r="H16" s="205" t="s">
        <v>90</v>
      </c>
      <c r="I16" s="221"/>
      <c r="J16" s="212"/>
      <c r="K16" s="208">
        <f>Q8+Q8</f>
        <v>20800</v>
      </c>
      <c r="L16" s="231" t="s">
        <v>142</v>
      </c>
    </row>
    <row r="17" spans="1:12" ht="30.75" thickBot="1" x14ac:dyDescent="0.3">
      <c r="A17" s="244" t="s">
        <v>49</v>
      </c>
      <c r="B17" s="201">
        <v>86766.956521739165</v>
      </c>
      <c r="C17" s="216" t="s">
        <v>89</v>
      </c>
      <c r="D17" s="221"/>
      <c r="E17" s="221"/>
      <c r="F17" s="221"/>
      <c r="G17" s="218"/>
      <c r="H17" s="205" t="s">
        <v>90</v>
      </c>
      <c r="I17" s="220"/>
      <c r="J17" s="212"/>
      <c r="K17" s="208">
        <f>Q7+Q8</f>
        <v>25662.6</v>
      </c>
      <c r="L17" s="231" t="s">
        <v>142</v>
      </c>
    </row>
    <row r="18" spans="1:12" ht="30.75" thickBot="1" x14ac:dyDescent="0.3">
      <c r="A18" s="244" t="s">
        <v>8</v>
      </c>
      <c r="B18" s="201">
        <v>81132.834782608712</v>
      </c>
      <c r="C18" s="227"/>
      <c r="D18" s="228"/>
      <c r="E18" s="228"/>
      <c r="F18" s="228"/>
      <c r="G18" s="229"/>
      <c r="H18" s="205" t="s">
        <v>90</v>
      </c>
      <c r="I18" s="205" t="s">
        <v>90</v>
      </c>
      <c r="J18" s="212"/>
      <c r="K18" s="208">
        <f>Q8*2</f>
        <v>20800</v>
      </c>
      <c r="L18" s="231" t="s">
        <v>142</v>
      </c>
    </row>
    <row r="19" spans="1:12" ht="30.75" thickBot="1" x14ac:dyDescent="0.3">
      <c r="A19" s="244" t="s">
        <v>44</v>
      </c>
      <c r="B19" s="201">
        <v>62238.886956521746</v>
      </c>
      <c r="C19" s="202"/>
      <c r="D19" s="203"/>
      <c r="E19" s="203"/>
      <c r="F19" s="203"/>
      <c r="G19" s="204"/>
      <c r="H19" s="205" t="s">
        <v>90</v>
      </c>
      <c r="I19" s="225" t="s">
        <v>1</v>
      </c>
      <c r="J19" s="212"/>
      <c r="K19" s="208">
        <f>Q8+Q6</f>
        <v>38683.4</v>
      </c>
      <c r="L19" s="231" t="s">
        <v>142</v>
      </c>
    </row>
    <row r="20" spans="1:12" ht="30.75" thickBot="1" x14ac:dyDescent="0.3">
      <c r="A20" s="244" t="s">
        <v>69</v>
      </c>
      <c r="B20" s="201">
        <v>50320.5565217392</v>
      </c>
      <c r="C20" s="216" t="s">
        <v>89</v>
      </c>
      <c r="D20" s="225" t="s">
        <v>1</v>
      </c>
      <c r="E20" s="203"/>
      <c r="F20" s="203"/>
      <c r="G20" s="204"/>
      <c r="H20" s="223"/>
      <c r="I20" s="220"/>
      <c r="J20" s="212"/>
      <c r="K20" s="208">
        <f>Q6+Q7</f>
        <v>43546</v>
      </c>
      <c r="L20" s="231" t="s">
        <v>142</v>
      </c>
    </row>
    <row r="21" spans="1:12" ht="30.75" thickBot="1" x14ac:dyDescent="0.3">
      <c r="A21" s="244" t="s">
        <v>57</v>
      </c>
      <c r="B21" s="201">
        <v>38645.217391304352</v>
      </c>
      <c r="C21" s="202"/>
      <c r="D21" s="203"/>
      <c r="E21" s="203"/>
      <c r="F21" s="203"/>
      <c r="G21" s="204"/>
      <c r="H21" s="205" t="s">
        <v>90</v>
      </c>
      <c r="I21" s="220"/>
      <c r="J21" s="212"/>
      <c r="K21" s="208">
        <f>Q8</f>
        <v>10400</v>
      </c>
      <c r="L21" s="231" t="s">
        <v>142</v>
      </c>
    </row>
    <row r="22" spans="1:12" ht="15.75" thickBot="1" x14ac:dyDescent="0.3">
      <c r="A22" s="244" t="s">
        <v>56</v>
      </c>
      <c r="B22" s="201">
        <v>32230.852173913045</v>
      </c>
      <c r="C22" s="223"/>
      <c r="D22" s="221"/>
      <c r="E22" s="221"/>
      <c r="F22" s="221"/>
      <c r="G22" s="218"/>
      <c r="H22" s="223"/>
      <c r="I22" s="220"/>
      <c r="J22" s="212"/>
      <c r="K22" s="208"/>
      <c r="L22" s="231" t="s">
        <v>142</v>
      </c>
    </row>
    <row r="23" spans="1:12" ht="30.75" thickBot="1" x14ac:dyDescent="0.3">
      <c r="A23" s="244" t="s">
        <v>94</v>
      </c>
      <c r="B23" s="201">
        <v>30085.113043478275</v>
      </c>
      <c r="C23" s="216" t="s">
        <v>89</v>
      </c>
      <c r="D23" s="221"/>
      <c r="E23" s="221"/>
      <c r="F23" s="221"/>
      <c r="G23" s="218"/>
      <c r="H23" s="230"/>
      <c r="I23" s="220"/>
      <c r="J23" s="212"/>
      <c r="K23" s="208">
        <f>Q7</f>
        <v>15262.6</v>
      </c>
      <c r="L23" s="231" t="s">
        <v>142</v>
      </c>
    </row>
    <row r="24" spans="1:12" ht="15.75" hidden="1" thickBot="1" x14ac:dyDescent="0.3">
      <c r="A24" s="241" t="s">
        <v>62</v>
      </c>
      <c r="B24" s="201">
        <v>21270.92173913047</v>
      </c>
      <c r="C24" s="202"/>
      <c r="D24" s="203"/>
      <c r="E24" s="203"/>
      <c r="F24" s="203"/>
      <c r="G24" s="204"/>
      <c r="H24" s="230"/>
      <c r="I24" s="220"/>
      <c r="J24" s="212"/>
      <c r="K24" s="231"/>
      <c r="L24" s="231"/>
    </row>
    <row r="25" spans="1:12" ht="15.75" thickBot="1" x14ac:dyDescent="0.3">
      <c r="A25" s="244" t="s">
        <v>46</v>
      </c>
      <c r="B25" s="201">
        <v>0</v>
      </c>
      <c r="C25" s="226" t="s">
        <v>1</v>
      </c>
      <c r="D25" s="225" t="s">
        <v>1</v>
      </c>
      <c r="E25" s="221"/>
      <c r="F25" s="221"/>
      <c r="G25" s="218"/>
      <c r="H25" s="230"/>
      <c r="I25" s="220"/>
      <c r="J25" s="212"/>
      <c r="K25" s="208">
        <f>Q6+Q6</f>
        <v>56566.8</v>
      </c>
      <c r="L25" s="231" t="s">
        <v>142</v>
      </c>
    </row>
    <row r="26" spans="1:12" ht="15.75" thickBot="1" x14ac:dyDescent="0.3">
      <c r="A26" s="244" t="s">
        <v>54</v>
      </c>
      <c r="B26" s="201">
        <v>0</v>
      </c>
      <c r="C26" s="226" t="s">
        <v>1</v>
      </c>
      <c r="D26" s="225" t="s">
        <v>1</v>
      </c>
      <c r="E26" s="203"/>
      <c r="F26" s="203"/>
      <c r="G26" s="204"/>
      <c r="H26" s="230"/>
      <c r="I26" s="220"/>
      <c r="J26" s="212"/>
      <c r="K26" s="208">
        <f>Q6+Q6</f>
        <v>56566.8</v>
      </c>
      <c r="L26" s="231" t="s">
        <v>142</v>
      </c>
    </row>
    <row r="27" spans="1:12" ht="15.75" thickBot="1" x14ac:dyDescent="0.3">
      <c r="A27" s="244" t="s">
        <v>51</v>
      </c>
      <c r="B27" s="201">
        <v>0</v>
      </c>
      <c r="C27" s="224" t="s">
        <v>42</v>
      </c>
      <c r="D27" s="217" t="s">
        <v>42</v>
      </c>
      <c r="E27" s="217" t="s">
        <v>42</v>
      </c>
      <c r="F27" s="217" t="s">
        <v>42</v>
      </c>
      <c r="G27" s="232" t="s">
        <v>42</v>
      </c>
      <c r="H27" s="230"/>
      <c r="I27" s="220"/>
      <c r="J27" s="212"/>
      <c r="K27" s="208">
        <f>5*Q5</f>
        <v>91900</v>
      </c>
      <c r="L27" s="231" t="s">
        <v>142</v>
      </c>
    </row>
    <row r="28" spans="1:12" ht="15.75" thickBot="1" x14ac:dyDescent="0.3">
      <c r="A28" s="244" t="s">
        <v>27</v>
      </c>
      <c r="B28" s="201">
        <v>0</v>
      </c>
      <c r="C28" s="224" t="s">
        <v>42</v>
      </c>
      <c r="D28" s="217" t="s">
        <v>42</v>
      </c>
      <c r="E28" s="217" t="s">
        <v>42</v>
      </c>
      <c r="F28" s="221"/>
      <c r="G28" s="218"/>
      <c r="H28" s="230"/>
      <c r="I28" s="220"/>
      <c r="J28" s="212"/>
      <c r="K28" s="208">
        <f>3*Q5</f>
        <v>55140</v>
      </c>
      <c r="L28" s="231" t="s">
        <v>142</v>
      </c>
    </row>
    <row r="29" spans="1:12" ht="15.75" thickBot="1" x14ac:dyDescent="0.3">
      <c r="A29" s="244" t="s">
        <v>23</v>
      </c>
      <c r="B29" s="201">
        <v>0</v>
      </c>
      <c r="C29" s="224" t="s">
        <v>42</v>
      </c>
      <c r="D29" s="225" t="s">
        <v>1</v>
      </c>
      <c r="E29" s="203"/>
      <c r="F29" s="203"/>
      <c r="G29" s="204"/>
      <c r="H29" s="230"/>
      <c r="I29" s="220"/>
      <c r="J29" s="212"/>
      <c r="K29" s="208">
        <f>Q5+Q6</f>
        <v>46663.4</v>
      </c>
      <c r="L29" s="231" t="s">
        <v>142</v>
      </c>
    </row>
    <row r="30" spans="1:12" hidden="1" x14ac:dyDescent="0.25">
      <c r="A30" s="242" t="s">
        <v>59</v>
      </c>
      <c r="B30" s="99">
        <v>0</v>
      </c>
      <c r="C30" s="195"/>
      <c r="D30" s="196"/>
      <c r="E30" s="196"/>
      <c r="F30" s="196"/>
      <c r="G30" s="197"/>
      <c r="H30" s="198"/>
      <c r="I30" s="199"/>
      <c r="J30" s="200"/>
    </row>
    <row r="31" spans="1:12" hidden="1" x14ac:dyDescent="0.25">
      <c r="A31" s="243" t="s">
        <v>10</v>
      </c>
      <c r="B31" s="99">
        <v>0</v>
      </c>
      <c r="C31" s="77"/>
      <c r="D31" s="64"/>
      <c r="E31" s="64"/>
      <c r="F31" s="64"/>
      <c r="G31" s="62"/>
      <c r="H31" s="173"/>
      <c r="I31" s="172"/>
      <c r="J31" s="170"/>
    </row>
    <row r="32" spans="1:12" ht="15.75" hidden="1" thickBot="1" x14ac:dyDescent="0.3">
      <c r="A32" s="162"/>
      <c r="C32" s="175"/>
      <c r="D32" s="176"/>
      <c r="E32" s="176"/>
      <c r="F32" s="176"/>
      <c r="G32" s="177"/>
      <c r="H32" s="175"/>
      <c r="I32" s="176"/>
      <c r="J32" s="177"/>
    </row>
    <row r="34" spans="1:4" x14ac:dyDescent="0.25">
      <c r="A34" s="13" t="s">
        <v>85</v>
      </c>
      <c r="B34" s="7" t="s">
        <v>86</v>
      </c>
      <c r="C34" s="5" t="s">
        <v>86</v>
      </c>
      <c r="D34" s="5" t="s">
        <v>87</v>
      </c>
    </row>
    <row r="35" spans="1:4" x14ac:dyDescent="0.25">
      <c r="A35" s="42" t="s">
        <v>89</v>
      </c>
      <c r="B35" s="7">
        <v>10</v>
      </c>
      <c r="C35" s="7">
        <v>10</v>
      </c>
      <c r="D35" s="7">
        <f>COUNTIF($C$2:$J$32,A35)</f>
        <v>10</v>
      </c>
    </row>
    <row r="36" spans="1:4" x14ac:dyDescent="0.25">
      <c r="A36" s="43" t="s">
        <v>90</v>
      </c>
      <c r="B36" s="7">
        <v>26</v>
      </c>
      <c r="C36" s="7">
        <v>26</v>
      </c>
      <c r="D36" s="7">
        <f t="shared" ref="D36:D41" si="0">COUNTIF($C$2:$J$32,A36)</f>
        <v>26</v>
      </c>
    </row>
    <row r="37" spans="1:4" x14ac:dyDescent="0.25">
      <c r="A37" s="44" t="s">
        <v>4</v>
      </c>
      <c r="B37" s="7">
        <v>6</v>
      </c>
      <c r="C37" s="7">
        <v>6</v>
      </c>
      <c r="D37" s="7">
        <f t="shared" si="0"/>
        <v>6</v>
      </c>
    </row>
    <row r="38" spans="1:4" x14ac:dyDescent="0.25">
      <c r="A38" s="45" t="s">
        <v>1</v>
      </c>
      <c r="B38" s="7">
        <v>9</v>
      </c>
      <c r="C38" s="7">
        <v>9</v>
      </c>
      <c r="D38" s="7">
        <f t="shared" si="0"/>
        <v>9</v>
      </c>
    </row>
    <row r="39" spans="1:4" hidden="1" x14ac:dyDescent="0.25">
      <c r="A39" s="46" t="s">
        <v>91</v>
      </c>
      <c r="B39" s="7">
        <v>10</v>
      </c>
      <c r="C39" s="7">
        <v>10</v>
      </c>
      <c r="D39" s="7">
        <f t="shared" si="0"/>
        <v>0</v>
      </c>
    </row>
    <row r="40" spans="1:4" x14ac:dyDescent="0.25">
      <c r="A40" s="47" t="s">
        <v>42</v>
      </c>
      <c r="B40" s="7">
        <v>20</v>
      </c>
      <c r="C40" s="7">
        <v>20</v>
      </c>
      <c r="D40" s="7">
        <f t="shared" si="0"/>
        <v>15</v>
      </c>
    </row>
    <row r="41" spans="1:4" hidden="1" x14ac:dyDescent="0.25">
      <c r="A41" s="48" t="s">
        <v>7</v>
      </c>
      <c r="B41" s="7">
        <v>4</v>
      </c>
      <c r="C41">
        <v>4</v>
      </c>
      <c r="D41">
        <f t="shared" si="0"/>
        <v>0</v>
      </c>
    </row>
  </sheetData>
  <sortState ref="A1:G31">
    <sortCondition descending="1" ref="B1"/>
  </sortState>
  <mergeCells count="1">
    <mergeCell ref="C1:G1"/>
  </mergeCells>
  <conditionalFormatting sqref="L2:L29">
    <cfRule type="cellIs" dxfId="10" priority="3" operator="equal">
      <formula>"ozvali se"</formula>
    </cfRule>
    <cfRule type="cellIs" dxfId="9" priority="4" operator="equal">
      <formula>"Ano"</formula>
    </cfRule>
    <cfRule type="cellIs" dxfId="8" priority="5" operator="equal">
      <formula>"Ne"</formula>
    </cfRule>
  </conditionalFormatting>
  <conditionalFormatting sqref="D35">
    <cfRule type="cellIs" dxfId="7" priority="1" operator="lessThan">
      <formula>$C$35</formula>
    </cfRule>
    <cfRule type="cellIs" dxfId="6" priority="2" operator="greaterThan">
      <formula>$C$35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workbookViewId="0">
      <selection activeCell="H17" sqref="H17"/>
    </sheetView>
  </sheetViews>
  <sheetFormatPr defaultRowHeight="15" x14ac:dyDescent="0.25"/>
  <cols>
    <col min="2" max="13" width="14" bestFit="1" customWidth="1"/>
    <col min="14" max="24" width="12.85546875" bestFit="1" customWidth="1"/>
    <col min="25" max="25" width="7.7109375" bestFit="1" customWidth="1"/>
    <col min="26" max="27" width="8.7109375" bestFit="1" customWidth="1"/>
    <col min="28" max="28" width="8.140625" bestFit="1" customWidth="1"/>
    <col min="29" max="29" width="8.85546875" bestFit="1" customWidth="1"/>
    <col min="30" max="30" width="7.5703125" bestFit="1" customWidth="1"/>
    <col min="31" max="31" width="8.7109375" bestFit="1" customWidth="1"/>
  </cols>
  <sheetData>
    <row r="1" spans="1:31" ht="45.75" thickBot="1" x14ac:dyDescent="0.3">
      <c r="A1" s="29" t="s">
        <v>70</v>
      </c>
      <c r="B1" s="20" t="s">
        <v>64</v>
      </c>
      <c r="C1" s="21" t="s">
        <v>50</v>
      </c>
      <c r="D1" s="21" t="s">
        <v>60</v>
      </c>
      <c r="E1" s="22" t="s">
        <v>43</v>
      </c>
      <c r="F1" s="21" t="s">
        <v>58</v>
      </c>
      <c r="G1" s="21" t="s">
        <v>61</v>
      </c>
      <c r="H1" s="21" t="s">
        <v>47</v>
      </c>
      <c r="I1" s="21" t="s">
        <v>65</v>
      </c>
      <c r="J1" s="21" t="s">
        <v>63</v>
      </c>
      <c r="K1" s="21" t="s">
        <v>52</v>
      </c>
      <c r="L1" s="21" t="s">
        <v>53</v>
      </c>
      <c r="M1" s="21" t="s">
        <v>66</v>
      </c>
      <c r="N1" s="21" t="s">
        <v>45</v>
      </c>
      <c r="O1" s="21" t="s">
        <v>48</v>
      </c>
      <c r="P1" s="21" t="s">
        <v>11</v>
      </c>
      <c r="Q1" s="21" t="s">
        <v>49</v>
      </c>
      <c r="R1" s="21" t="s">
        <v>8</v>
      </c>
      <c r="S1" s="21" t="s">
        <v>44</v>
      </c>
      <c r="T1" s="21" t="s">
        <v>69</v>
      </c>
      <c r="U1" s="21" t="s">
        <v>57</v>
      </c>
      <c r="V1" s="21" t="s">
        <v>56</v>
      </c>
      <c r="W1" s="21" t="s">
        <v>94</v>
      </c>
      <c r="X1" s="21" t="s">
        <v>62</v>
      </c>
      <c r="Y1" s="21" t="s">
        <v>46</v>
      </c>
      <c r="Z1" s="21" t="s">
        <v>54</v>
      </c>
      <c r="AA1" s="21" t="s">
        <v>51</v>
      </c>
      <c r="AB1" s="21" t="s">
        <v>27</v>
      </c>
      <c r="AC1" s="21" t="s">
        <v>23</v>
      </c>
      <c r="AD1" s="21" t="s">
        <v>59</v>
      </c>
      <c r="AE1" s="21" t="s">
        <v>10</v>
      </c>
    </row>
    <row r="2" spans="1:31" ht="15.75" hidden="1" thickBot="1" x14ac:dyDescent="0.3">
      <c r="A2" s="4" t="s">
        <v>133</v>
      </c>
      <c r="B2" s="99">
        <v>283409.21739130438</v>
      </c>
      <c r="C2" s="99">
        <v>249635.86086956525</v>
      </c>
      <c r="D2" s="99">
        <v>242287.09565217391</v>
      </c>
      <c r="E2" s="99">
        <v>205610.60869565216</v>
      </c>
      <c r="F2" s="99">
        <v>161154.26086956525</v>
      </c>
      <c r="G2" s="99">
        <v>160042.85217391307</v>
      </c>
      <c r="H2" s="99">
        <v>153374.40000000005</v>
      </c>
      <c r="I2" s="99">
        <v>152262.99130434784</v>
      </c>
      <c r="J2" s="99">
        <v>147817.35652173916</v>
      </c>
      <c r="K2" s="99">
        <v>134480.45217391307</v>
      </c>
      <c r="L2" s="99">
        <v>111140.86956521741</v>
      </c>
      <c r="M2" s="99">
        <v>102326.67826086958</v>
      </c>
      <c r="N2" s="99">
        <v>97777.078260869603</v>
      </c>
      <c r="O2" s="99">
        <v>94699.826086956542</v>
      </c>
      <c r="P2" s="99">
        <v>87801.286956521755</v>
      </c>
      <c r="Q2" s="99">
        <v>86766.956521739165</v>
      </c>
      <c r="R2" s="99">
        <v>81132.834782608712</v>
      </c>
      <c r="S2" s="99">
        <v>62238.886956521746</v>
      </c>
      <c r="T2" s="99">
        <v>50320.5565217392</v>
      </c>
      <c r="U2" s="99">
        <v>38645.217391304352</v>
      </c>
      <c r="V2" s="99">
        <v>32230.852173913045</v>
      </c>
      <c r="W2" s="99">
        <v>30085.113043478275</v>
      </c>
      <c r="X2" s="99">
        <v>21270.92173913047</v>
      </c>
      <c r="Y2" s="99">
        <v>0</v>
      </c>
      <c r="Z2" s="99">
        <v>0</v>
      </c>
      <c r="AA2" s="99">
        <v>0</v>
      </c>
      <c r="AB2" s="99">
        <v>0</v>
      </c>
      <c r="AC2" s="99">
        <v>0</v>
      </c>
      <c r="AD2" s="99">
        <v>0</v>
      </c>
      <c r="AE2" s="99">
        <v>0</v>
      </c>
    </row>
    <row r="3" spans="1:31" ht="30.75" thickBot="1" x14ac:dyDescent="0.3">
      <c r="A3" s="253" t="s">
        <v>123</v>
      </c>
      <c r="B3" s="163"/>
      <c r="C3" s="72" t="s">
        <v>4</v>
      </c>
      <c r="D3" s="77"/>
      <c r="E3" s="165"/>
      <c r="F3" s="72" t="s">
        <v>4</v>
      </c>
      <c r="G3" s="77"/>
      <c r="H3" s="77"/>
      <c r="I3" s="77"/>
      <c r="J3" s="69" t="s">
        <v>89</v>
      </c>
      <c r="K3" s="72" t="s">
        <v>4</v>
      </c>
      <c r="L3" s="154"/>
      <c r="M3" s="69" t="s">
        <v>89</v>
      </c>
      <c r="N3" s="74" t="s">
        <v>42</v>
      </c>
      <c r="O3" s="55" t="s">
        <v>1</v>
      </c>
      <c r="P3" s="77"/>
      <c r="Q3" s="69" t="s">
        <v>89</v>
      </c>
      <c r="R3" s="166"/>
      <c r="S3" s="77"/>
      <c r="T3" s="69" t="s">
        <v>89</v>
      </c>
      <c r="U3" s="77"/>
      <c r="V3" s="154"/>
      <c r="W3" s="69" t="s">
        <v>89</v>
      </c>
      <c r="X3" s="77"/>
      <c r="Y3" s="55" t="s">
        <v>1</v>
      </c>
      <c r="Z3" s="55" t="s">
        <v>1</v>
      </c>
      <c r="AA3" s="74" t="s">
        <v>42</v>
      </c>
      <c r="AB3" s="74" t="s">
        <v>42</v>
      </c>
      <c r="AC3" s="74" t="s">
        <v>42</v>
      </c>
      <c r="AD3" s="77"/>
      <c r="AE3" s="77"/>
    </row>
    <row r="4" spans="1:31" ht="30.75" thickBot="1" x14ac:dyDescent="0.3">
      <c r="A4" s="254"/>
      <c r="B4" s="53"/>
      <c r="C4" s="56" t="s">
        <v>4</v>
      </c>
      <c r="D4" s="64"/>
      <c r="E4" s="139"/>
      <c r="F4" s="65" t="s">
        <v>42</v>
      </c>
      <c r="G4" s="64"/>
      <c r="H4" s="64"/>
      <c r="I4" s="64"/>
      <c r="J4" s="58" t="s">
        <v>89</v>
      </c>
      <c r="K4" s="96"/>
      <c r="L4" s="96"/>
      <c r="M4" s="96"/>
      <c r="N4" s="65" t="s">
        <v>42</v>
      </c>
      <c r="O4" s="64"/>
      <c r="P4" s="64"/>
      <c r="Q4" s="96"/>
      <c r="R4" s="141"/>
      <c r="S4" s="64"/>
      <c r="T4" s="66" t="s">
        <v>1</v>
      </c>
      <c r="U4" s="64"/>
      <c r="V4" s="96"/>
      <c r="W4" s="96"/>
      <c r="X4" s="64"/>
      <c r="Y4" s="66" t="s">
        <v>1</v>
      </c>
      <c r="Z4" s="66" t="s">
        <v>1</v>
      </c>
      <c r="AA4" s="65" t="s">
        <v>42</v>
      </c>
      <c r="AB4" s="65" t="s">
        <v>42</v>
      </c>
      <c r="AC4" s="66" t="s">
        <v>1</v>
      </c>
      <c r="AD4" s="64"/>
      <c r="AE4" s="64"/>
    </row>
    <row r="5" spans="1:31" ht="30.75" thickBot="1" x14ac:dyDescent="0.3">
      <c r="A5" s="254"/>
      <c r="B5" s="53"/>
      <c r="C5" s="58" t="s">
        <v>89</v>
      </c>
      <c r="D5" s="64"/>
      <c r="E5" s="139"/>
      <c r="F5" s="65" t="s">
        <v>42</v>
      </c>
      <c r="G5" s="64"/>
      <c r="H5" s="64"/>
      <c r="I5" s="64"/>
      <c r="J5" s="64"/>
      <c r="K5" s="96"/>
      <c r="L5" s="96"/>
      <c r="M5" s="96"/>
      <c r="N5" s="58" t="s">
        <v>89</v>
      </c>
      <c r="O5" s="64"/>
      <c r="P5" s="64"/>
      <c r="Q5" s="96"/>
      <c r="R5" s="141"/>
      <c r="S5" s="64"/>
      <c r="T5" s="64"/>
      <c r="U5" s="64"/>
      <c r="V5" s="96"/>
      <c r="W5" s="96"/>
      <c r="X5" s="64"/>
      <c r="Y5" s="96"/>
      <c r="Z5" s="64"/>
      <c r="AA5" s="65" t="s">
        <v>42</v>
      </c>
      <c r="AB5" s="65" t="s">
        <v>42</v>
      </c>
      <c r="AC5" s="64"/>
      <c r="AD5" s="64"/>
      <c r="AE5" s="64"/>
    </row>
    <row r="6" spans="1:31" ht="15.75" thickBot="1" x14ac:dyDescent="0.3">
      <c r="A6" s="254"/>
      <c r="B6" s="53"/>
      <c r="C6" s="64"/>
      <c r="D6" s="64"/>
      <c r="E6" s="139"/>
      <c r="F6" s="65" t="s">
        <v>42</v>
      </c>
      <c r="G6" s="64"/>
      <c r="H6" s="64"/>
      <c r="I6" s="64"/>
      <c r="J6" s="64"/>
      <c r="K6" s="96"/>
      <c r="L6" s="96"/>
      <c r="M6" s="96"/>
      <c r="N6" s="66" t="s">
        <v>1</v>
      </c>
      <c r="O6" s="64"/>
      <c r="P6" s="64"/>
      <c r="Q6" s="96"/>
      <c r="R6" s="141"/>
      <c r="S6" s="64"/>
      <c r="T6" s="64"/>
      <c r="U6" s="64"/>
      <c r="V6" s="96"/>
      <c r="W6" s="96"/>
      <c r="X6" s="64"/>
      <c r="Y6" s="96"/>
      <c r="Z6" s="64"/>
      <c r="AA6" s="65" t="s">
        <v>42</v>
      </c>
      <c r="AB6" s="96"/>
      <c r="AC6" s="64"/>
      <c r="AD6" s="64"/>
      <c r="AE6" s="64"/>
    </row>
    <row r="7" spans="1:31" ht="15.75" thickBot="1" x14ac:dyDescent="0.3">
      <c r="A7" s="255"/>
      <c r="B7" s="54"/>
      <c r="C7" s="62"/>
      <c r="D7" s="62"/>
      <c r="E7" s="70"/>
      <c r="F7" s="97"/>
      <c r="G7" s="62"/>
      <c r="H7" s="62"/>
      <c r="I7" s="62"/>
      <c r="J7" s="62"/>
      <c r="K7" s="97"/>
      <c r="L7" s="97"/>
      <c r="M7" s="97"/>
      <c r="N7" s="97"/>
      <c r="O7" s="62"/>
      <c r="P7" s="62"/>
      <c r="Q7" s="97"/>
      <c r="R7" s="76"/>
      <c r="S7" s="62"/>
      <c r="T7" s="62"/>
      <c r="U7" s="62"/>
      <c r="V7" s="97"/>
      <c r="W7" s="97"/>
      <c r="X7" s="62"/>
      <c r="Y7" s="97"/>
      <c r="Z7" s="62"/>
      <c r="AA7" s="174" t="s">
        <v>42</v>
      </c>
      <c r="AB7" s="97"/>
      <c r="AC7" s="62"/>
      <c r="AD7" s="62"/>
      <c r="AE7" s="62"/>
    </row>
    <row r="8" spans="1:31" ht="30.75" thickBot="1" x14ac:dyDescent="0.3">
      <c r="A8" s="27" t="s">
        <v>74</v>
      </c>
      <c r="B8" s="167" t="s">
        <v>90</v>
      </c>
      <c r="C8" s="72" t="s">
        <v>4</v>
      </c>
      <c r="D8" s="63" t="s">
        <v>90</v>
      </c>
      <c r="E8" s="69" t="s">
        <v>89</v>
      </c>
      <c r="F8" s="63" t="s">
        <v>90</v>
      </c>
      <c r="G8" s="72" t="s">
        <v>4</v>
      </c>
      <c r="H8" s="69" t="s">
        <v>89</v>
      </c>
      <c r="I8" s="63" t="s">
        <v>90</v>
      </c>
      <c r="J8" s="63" t="s">
        <v>90</v>
      </c>
      <c r="K8" s="169" t="s">
        <v>90</v>
      </c>
      <c r="L8" s="63" t="s">
        <v>90</v>
      </c>
      <c r="M8" s="63" t="s">
        <v>90</v>
      </c>
      <c r="N8" s="63" t="s">
        <v>90</v>
      </c>
      <c r="O8" s="55" t="s">
        <v>1</v>
      </c>
      <c r="P8" s="63" t="s">
        <v>90</v>
      </c>
      <c r="Q8" s="63" t="s">
        <v>90</v>
      </c>
      <c r="R8" s="63" t="s">
        <v>90</v>
      </c>
      <c r="S8" s="63" t="s">
        <v>90</v>
      </c>
      <c r="T8" s="63" t="s">
        <v>90</v>
      </c>
      <c r="U8" s="63" t="s">
        <v>90</v>
      </c>
      <c r="V8" s="63" t="s">
        <v>90</v>
      </c>
      <c r="W8" s="173"/>
      <c r="X8" s="173"/>
      <c r="Y8" s="173"/>
      <c r="Z8" s="173"/>
      <c r="AA8" s="173"/>
      <c r="AB8" s="173"/>
      <c r="AC8" s="173"/>
      <c r="AD8" s="173"/>
      <c r="AE8" s="173"/>
    </row>
    <row r="9" spans="1:31" ht="30.75" thickBot="1" x14ac:dyDescent="0.3">
      <c r="A9" s="164" t="s">
        <v>75</v>
      </c>
      <c r="B9" s="52" t="s">
        <v>90</v>
      </c>
      <c r="C9" s="57" t="s">
        <v>90</v>
      </c>
      <c r="D9" s="57" t="s">
        <v>90</v>
      </c>
      <c r="E9" s="57" t="s">
        <v>90</v>
      </c>
      <c r="F9" s="57" t="s">
        <v>90</v>
      </c>
      <c r="G9" s="172"/>
      <c r="H9" s="57" t="s">
        <v>90</v>
      </c>
      <c r="I9" s="172"/>
      <c r="J9" s="172"/>
      <c r="K9" s="57" t="s">
        <v>90</v>
      </c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A9" s="172"/>
      <c r="AB9" s="172"/>
      <c r="AC9" s="172"/>
      <c r="AD9" s="172"/>
      <c r="AE9" s="172"/>
    </row>
    <row r="10" spans="1:31" ht="30.75" thickBot="1" x14ac:dyDescent="0.3">
      <c r="A10" s="28" t="s">
        <v>132</v>
      </c>
      <c r="B10" s="168" t="s">
        <v>90</v>
      </c>
      <c r="C10" s="169" t="s">
        <v>90</v>
      </c>
      <c r="D10" s="170"/>
      <c r="E10" s="169" t="s">
        <v>90</v>
      </c>
      <c r="F10" s="171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</row>
  </sheetData>
  <mergeCells count="1">
    <mergeCell ref="A3:A7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1"/>
  <sheetViews>
    <sheetView workbookViewId="0">
      <selection activeCell="H17" sqref="H17"/>
    </sheetView>
  </sheetViews>
  <sheetFormatPr defaultRowHeight="15" x14ac:dyDescent="0.25"/>
  <cols>
    <col min="1" max="1" width="27.5703125" customWidth="1"/>
    <col min="2" max="2" width="11.140625" hidden="1" customWidth="1"/>
    <col min="11" max="11" width="13.7109375" bestFit="1" customWidth="1"/>
  </cols>
  <sheetData>
    <row r="1" spans="1:24" ht="15.75" thickBot="1" x14ac:dyDescent="0.3">
      <c r="A1" s="29" t="s">
        <v>70</v>
      </c>
      <c r="B1" s="4" t="s">
        <v>133</v>
      </c>
      <c r="C1" s="256" t="s">
        <v>123</v>
      </c>
      <c r="D1" s="257"/>
      <c r="E1" s="257"/>
      <c r="F1" s="257"/>
      <c r="G1" s="258"/>
      <c r="H1" s="27" t="s">
        <v>74</v>
      </c>
      <c r="I1" s="164" t="s">
        <v>75</v>
      </c>
      <c r="J1" s="28" t="s">
        <v>132</v>
      </c>
      <c r="K1" s="29" t="s">
        <v>134</v>
      </c>
    </row>
    <row r="2" spans="1:24" x14ac:dyDescent="0.25">
      <c r="A2" s="20" t="s">
        <v>64</v>
      </c>
      <c r="B2" s="99">
        <v>283409.21739130438</v>
      </c>
      <c r="C2" s="163"/>
      <c r="D2" s="53"/>
      <c r="E2" s="53"/>
      <c r="F2" s="53"/>
      <c r="G2" s="54"/>
      <c r="H2" s="167">
        <v>41600</v>
      </c>
      <c r="I2" s="52">
        <v>41600</v>
      </c>
      <c r="J2" s="168">
        <v>41600</v>
      </c>
      <c r="K2" s="178">
        <f>SUM(C2:J2)</f>
        <v>124800</v>
      </c>
      <c r="M2" t="s">
        <v>129</v>
      </c>
      <c r="N2">
        <v>91389.6</v>
      </c>
      <c r="O2" t="s">
        <v>103</v>
      </c>
      <c r="P2">
        <v>73520</v>
      </c>
      <c r="Q2" t="s">
        <v>104</v>
      </c>
      <c r="R2">
        <v>51680</v>
      </c>
      <c r="S2" t="s">
        <v>130</v>
      </c>
      <c r="T2">
        <v>113133.6</v>
      </c>
      <c r="U2" t="s">
        <v>97</v>
      </c>
      <c r="V2">
        <v>61050.400000000001</v>
      </c>
      <c r="W2" t="s">
        <v>98</v>
      </c>
      <c r="X2">
        <v>41600</v>
      </c>
    </row>
    <row r="3" spans="1:24" x14ac:dyDescent="0.25">
      <c r="A3" s="21" t="s">
        <v>50</v>
      </c>
      <c r="B3" s="99">
        <v>249635.86086956525</v>
      </c>
      <c r="C3" s="72">
        <v>91386</v>
      </c>
      <c r="D3" s="56">
        <v>91386</v>
      </c>
      <c r="E3" s="58">
        <v>61050</v>
      </c>
      <c r="F3" s="64"/>
      <c r="G3" s="62"/>
      <c r="H3" s="72">
        <v>91386</v>
      </c>
      <c r="I3" s="57">
        <v>41600</v>
      </c>
      <c r="J3" s="169">
        <v>41600</v>
      </c>
      <c r="K3" s="179">
        <f t="shared" ref="K3:K31" si="0">SUM(C3:J3)</f>
        <v>418408</v>
      </c>
    </row>
    <row r="4" spans="1:24" x14ac:dyDescent="0.25">
      <c r="A4" s="21" t="s">
        <v>60</v>
      </c>
      <c r="B4" s="99">
        <v>242287.09565217391</v>
      </c>
      <c r="C4" s="77"/>
      <c r="D4" s="64"/>
      <c r="E4" s="64"/>
      <c r="F4" s="64"/>
      <c r="G4" s="62"/>
      <c r="H4" s="63">
        <v>41600</v>
      </c>
      <c r="I4" s="57">
        <v>41600</v>
      </c>
      <c r="J4" s="170"/>
      <c r="K4" s="179">
        <f t="shared" si="0"/>
        <v>83200</v>
      </c>
    </row>
    <row r="5" spans="1:24" x14ac:dyDescent="0.25">
      <c r="A5" s="22" t="s">
        <v>43</v>
      </c>
      <c r="B5" s="99">
        <v>205610.60869565216</v>
      </c>
      <c r="C5" s="165"/>
      <c r="D5" s="139"/>
      <c r="E5" s="139"/>
      <c r="F5" s="139"/>
      <c r="G5" s="70"/>
      <c r="H5" s="69">
        <v>61050</v>
      </c>
      <c r="I5" s="57">
        <v>41600</v>
      </c>
      <c r="J5" s="169">
        <v>41600</v>
      </c>
      <c r="K5" s="179">
        <f t="shared" si="0"/>
        <v>144250</v>
      </c>
    </row>
    <row r="6" spans="1:24" x14ac:dyDescent="0.25">
      <c r="A6" s="21" t="s">
        <v>58</v>
      </c>
      <c r="B6" s="99">
        <v>161154.26086956525</v>
      </c>
      <c r="C6" s="72">
        <v>91386</v>
      </c>
      <c r="D6" s="65">
        <v>73520</v>
      </c>
      <c r="E6" s="65">
        <v>73520</v>
      </c>
      <c r="F6" s="65">
        <v>73520</v>
      </c>
      <c r="G6" s="97"/>
      <c r="H6" s="63">
        <v>41600</v>
      </c>
      <c r="I6" s="57">
        <v>41600</v>
      </c>
      <c r="J6" s="97"/>
      <c r="K6" s="179">
        <f t="shared" si="0"/>
        <v>395146</v>
      </c>
    </row>
    <row r="7" spans="1:24" x14ac:dyDescent="0.25">
      <c r="A7" s="21" t="s">
        <v>61</v>
      </c>
      <c r="B7" s="99">
        <v>160042.85217391307</v>
      </c>
      <c r="C7" s="77"/>
      <c r="D7" s="64"/>
      <c r="E7" s="64"/>
      <c r="F7" s="64"/>
      <c r="G7" s="62"/>
      <c r="H7" s="72">
        <v>91386</v>
      </c>
      <c r="I7" s="172"/>
      <c r="J7" s="170"/>
      <c r="K7" s="179">
        <f t="shared" si="0"/>
        <v>91386</v>
      </c>
    </row>
    <row r="8" spans="1:24" x14ac:dyDescent="0.25">
      <c r="A8" s="21" t="s">
        <v>47</v>
      </c>
      <c r="B8" s="99">
        <v>153374.40000000005</v>
      </c>
      <c r="C8" s="77"/>
      <c r="D8" s="64"/>
      <c r="E8" s="64"/>
      <c r="F8" s="64"/>
      <c r="G8" s="62"/>
      <c r="H8" s="69">
        <v>61050</v>
      </c>
      <c r="I8" s="57">
        <v>41600</v>
      </c>
      <c r="J8" s="170"/>
      <c r="K8" s="179">
        <f t="shared" si="0"/>
        <v>102650</v>
      </c>
    </row>
    <row r="9" spans="1:24" x14ac:dyDescent="0.25">
      <c r="A9" s="21" t="s">
        <v>65</v>
      </c>
      <c r="B9" s="99">
        <v>152262.99130434784</v>
      </c>
      <c r="C9" s="77"/>
      <c r="D9" s="64"/>
      <c r="E9" s="64"/>
      <c r="F9" s="64"/>
      <c r="G9" s="62"/>
      <c r="H9" s="63">
        <v>41600</v>
      </c>
      <c r="I9" s="172"/>
      <c r="J9" s="170"/>
      <c r="K9" s="179">
        <f t="shared" si="0"/>
        <v>41600</v>
      </c>
    </row>
    <row r="10" spans="1:24" x14ac:dyDescent="0.25">
      <c r="A10" s="21" t="s">
        <v>63</v>
      </c>
      <c r="B10" s="99">
        <v>147817.35652173916</v>
      </c>
      <c r="C10" s="69">
        <v>61050</v>
      </c>
      <c r="D10" s="58">
        <v>61050</v>
      </c>
      <c r="E10" s="64"/>
      <c r="F10" s="64"/>
      <c r="G10" s="62"/>
      <c r="H10" s="63">
        <v>41600</v>
      </c>
      <c r="I10" s="172"/>
      <c r="J10" s="170"/>
      <c r="K10" s="179">
        <f t="shared" si="0"/>
        <v>163700</v>
      </c>
    </row>
    <row r="11" spans="1:24" x14ac:dyDescent="0.25">
      <c r="A11" s="21" t="s">
        <v>52</v>
      </c>
      <c r="B11" s="99">
        <v>134480.45217391307</v>
      </c>
      <c r="C11" s="72">
        <v>91386</v>
      </c>
      <c r="D11" s="96"/>
      <c r="E11" s="96"/>
      <c r="F11" s="96"/>
      <c r="G11" s="97"/>
      <c r="H11" s="63">
        <v>41600</v>
      </c>
      <c r="I11" s="57">
        <v>41600</v>
      </c>
      <c r="J11" s="170"/>
      <c r="K11" s="179">
        <f t="shared" si="0"/>
        <v>174586</v>
      </c>
    </row>
    <row r="12" spans="1:24" x14ac:dyDescent="0.25">
      <c r="A12" s="21" t="s">
        <v>53</v>
      </c>
      <c r="B12" s="99">
        <v>111140.86956521741</v>
      </c>
      <c r="C12" s="154"/>
      <c r="D12" s="96"/>
      <c r="E12" s="96"/>
      <c r="F12" s="96"/>
      <c r="G12" s="97"/>
      <c r="H12" s="63">
        <v>41600</v>
      </c>
      <c r="I12" s="172"/>
      <c r="J12" s="170"/>
      <c r="K12" s="179">
        <f t="shared" si="0"/>
        <v>41600</v>
      </c>
    </row>
    <row r="13" spans="1:24" x14ac:dyDescent="0.25">
      <c r="A13" s="21" t="s">
        <v>66</v>
      </c>
      <c r="B13" s="99">
        <v>102326.67826086958</v>
      </c>
      <c r="C13" s="69">
        <v>61050</v>
      </c>
      <c r="D13" s="96"/>
      <c r="E13" s="96"/>
      <c r="F13" s="96"/>
      <c r="G13" s="97"/>
      <c r="H13" s="63">
        <v>41600</v>
      </c>
      <c r="I13" s="172"/>
      <c r="J13" s="170"/>
      <c r="K13" s="179">
        <f t="shared" si="0"/>
        <v>102650</v>
      </c>
    </row>
    <row r="14" spans="1:24" x14ac:dyDescent="0.25">
      <c r="A14" s="21" t="s">
        <v>45</v>
      </c>
      <c r="B14" s="99">
        <v>97777.078260869603</v>
      </c>
      <c r="C14" s="74">
        <v>73520</v>
      </c>
      <c r="D14" s="65">
        <v>73520</v>
      </c>
      <c r="E14" s="58">
        <v>61050</v>
      </c>
      <c r="F14" s="66">
        <v>113133</v>
      </c>
      <c r="G14" s="68"/>
      <c r="H14" s="63">
        <v>41600</v>
      </c>
      <c r="I14" s="172"/>
      <c r="J14" s="170"/>
      <c r="K14" s="179">
        <f t="shared" si="0"/>
        <v>362823</v>
      </c>
    </row>
    <row r="15" spans="1:24" x14ac:dyDescent="0.25">
      <c r="A15" s="21" t="s">
        <v>48</v>
      </c>
      <c r="B15" s="99">
        <v>94699.826086956542</v>
      </c>
      <c r="C15" s="55">
        <v>113133</v>
      </c>
      <c r="D15" s="64"/>
      <c r="E15" s="64"/>
      <c r="F15" s="64"/>
      <c r="G15" s="62"/>
      <c r="H15" s="55">
        <v>113133</v>
      </c>
      <c r="I15" s="172"/>
      <c r="J15" s="170"/>
      <c r="K15" s="179">
        <f t="shared" si="0"/>
        <v>226266</v>
      </c>
    </row>
    <row r="16" spans="1:24" x14ac:dyDescent="0.25">
      <c r="A16" s="21" t="s">
        <v>11</v>
      </c>
      <c r="B16" s="99">
        <v>87801.286956521755</v>
      </c>
      <c r="C16" s="77"/>
      <c r="D16" s="64"/>
      <c r="E16" s="64"/>
      <c r="F16" s="64"/>
      <c r="G16" s="62"/>
      <c r="H16" s="63">
        <v>41600</v>
      </c>
      <c r="I16" s="172"/>
      <c r="J16" s="170"/>
      <c r="K16" s="179">
        <f t="shared" si="0"/>
        <v>41600</v>
      </c>
    </row>
    <row r="17" spans="1:11" x14ac:dyDescent="0.25">
      <c r="A17" s="21" t="s">
        <v>49</v>
      </c>
      <c r="B17" s="99">
        <v>86766.956521739165</v>
      </c>
      <c r="C17" s="69">
        <v>61050</v>
      </c>
      <c r="D17" s="96"/>
      <c r="E17" s="96"/>
      <c r="F17" s="96"/>
      <c r="G17" s="97"/>
      <c r="H17" s="63">
        <v>41600</v>
      </c>
      <c r="I17" s="172"/>
      <c r="J17" s="170"/>
      <c r="K17" s="179">
        <f t="shared" si="0"/>
        <v>102650</v>
      </c>
    </row>
    <row r="18" spans="1:11" x14ac:dyDescent="0.25">
      <c r="A18" s="21" t="s">
        <v>8</v>
      </c>
      <c r="B18" s="99">
        <v>81132.834782608712</v>
      </c>
      <c r="C18" s="166"/>
      <c r="D18" s="141"/>
      <c r="E18" s="141"/>
      <c r="F18" s="141"/>
      <c r="G18" s="76"/>
      <c r="H18" s="63">
        <v>41600</v>
      </c>
      <c r="I18" s="172"/>
      <c r="J18" s="170"/>
      <c r="K18" s="179">
        <f t="shared" si="0"/>
        <v>41600</v>
      </c>
    </row>
    <row r="19" spans="1:11" x14ac:dyDescent="0.25">
      <c r="A19" s="21" t="s">
        <v>44</v>
      </c>
      <c r="B19" s="99">
        <v>62238.886956521746</v>
      </c>
      <c r="C19" s="77"/>
      <c r="D19" s="64"/>
      <c r="E19" s="64"/>
      <c r="F19" s="64"/>
      <c r="G19" s="62"/>
      <c r="H19" s="63">
        <v>41600</v>
      </c>
      <c r="I19" s="172"/>
      <c r="J19" s="170"/>
      <c r="K19" s="179">
        <f t="shared" si="0"/>
        <v>41600</v>
      </c>
    </row>
    <row r="20" spans="1:11" x14ac:dyDescent="0.25">
      <c r="A20" s="21" t="s">
        <v>69</v>
      </c>
      <c r="B20" s="99">
        <v>50320.5565217392</v>
      </c>
      <c r="C20" s="69">
        <v>61050</v>
      </c>
      <c r="D20" s="66">
        <v>113133</v>
      </c>
      <c r="E20" s="64"/>
      <c r="F20" s="64"/>
      <c r="G20" s="62"/>
      <c r="H20" s="63">
        <v>41600</v>
      </c>
      <c r="I20" s="172"/>
      <c r="J20" s="170"/>
      <c r="K20" s="179">
        <f t="shared" si="0"/>
        <v>215783</v>
      </c>
    </row>
    <row r="21" spans="1:11" x14ac:dyDescent="0.25">
      <c r="A21" s="21" t="s">
        <v>57</v>
      </c>
      <c r="B21" s="99">
        <v>38645.217391304352</v>
      </c>
      <c r="C21" s="77"/>
      <c r="D21" s="64"/>
      <c r="E21" s="64"/>
      <c r="F21" s="64"/>
      <c r="G21" s="62"/>
      <c r="H21" s="63">
        <v>41600</v>
      </c>
      <c r="I21" s="172"/>
      <c r="J21" s="170"/>
      <c r="K21" s="179">
        <f t="shared" si="0"/>
        <v>41600</v>
      </c>
    </row>
    <row r="22" spans="1:11" x14ac:dyDescent="0.25">
      <c r="A22" s="21" t="s">
        <v>56</v>
      </c>
      <c r="B22" s="99">
        <v>32230.852173913045</v>
      </c>
      <c r="C22" s="154"/>
      <c r="D22" s="96"/>
      <c r="E22" s="96"/>
      <c r="F22" s="96"/>
      <c r="G22" s="97"/>
      <c r="H22" s="63">
        <v>41600</v>
      </c>
      <c r="I22" s="172"/>
      <c r="J22" s="170"/>
      <c r="K22" s="179">
        <f t="shared" si="0"/>
        <v>41600</v>
      </c>
    </row>
    <row r="23" spans="1:11" x14ac:dyDescent="0.25">
      <c r="A23" s="21" t="s">
        <v>94</v>
      </c>
      <c r="B23" s="99">
        <v>30085.113043478275</v>
      </c>
      <c r="C23" s="69">
        <v>61050</v>
      </c>
      <c r="D23" s="96"/>
      <c r="E23" s="96"/>
      <c r="F23" s="96"/>
      <c r="G23" s="97"/>
      <c r="H23" s="173"/>
      <c r="I23" s="172"/>
      <c r="J23" s="170"/>
      <c r="K23" s="179">
        <f t="shared" si="0"/>
        <v>61050</v>
      </c>
    </row>
    <row r="24" spans="1:11" x14ac:dyDescent="0.25">
      <c r="A24" s="21" t="s">
        <v>62</v>
      </c>
      <c r="B24" s="99">
        <v>21270.92173913047</v>
      </c>
      <c r="C24" s="77"/>
      <c r="D24" s="64"/>
      <c r="E24" s="64"/>
      <c r="F24" s="64"/>
      <c r="G24" s="62"/>
      <c r="H24" s="173"/>
      <c r="I24" s="172"/>
      <c r="J24" s="170"/>
      <c r="K24" s="179">
        <f t="shared" si="0"/>
        <v>0</v>
      </c>
    </row>
    <row r="25" spans="1:11" x14ac:dyDescent="0.25">
      <c r="A25" s="21" t="s">
        <v>46</v>
      </c>
      <c r="B25" s="99">
        <v>0</v>
      </c>
      <c r="C25" s="55">
        <v>113133</v>
      </c>
      <c r="D25" s="66">
        <v>113133</v>
      </c>
      <c r="E25" s="96"/>
      <c r="F25" s="96"/>
      <c r="G25" s="97"/>
      <c r="H25" s="173"/>
      <c r="I25" s="172"/>
      <c r="J25" s="170"/>
      <c r="K25" s="179">
        <f t="shared" si="0"/>
        <v>226266</v>
      </c>
    </row>
    <row r="26" spans="1:11" x14ac:dyDescent="0.25">
      <c r="A26" s="21" t="s">
        <v>54</v>
      </c>
      <c r="B26" s="99">
        <v>0</v>
      </c>
      <c r="C26" s="55">
        <v>113133</v>
      </c>
      <c r="D26" s="66">
        <v>113133</v>
      </c>
      <c r="E26" s="64"/>
      <c r="F26" s="64"/>
      <c r="G26" s="62"/>
      <c r="H26" s="173"/>
      <c r="I26" s="172"/>
      <c r="J26" s="170"/>
      <c r="K26" s="179">
        <f t="shared" si="0"/>
        <v>226266</v>
      </c>
    </row>
    <row r="27" spans="1:11" x14ac:dyDescent="0.25">
      <c r="A27" s="21" t="s">
        <v>51</v>
      </c>
      <c r="B27" s="99">
        <v>0</v>
      </c>
      <c r="C27" s="74">
        <v>73520</v>
      </c>
      <c r="D27" s="65">
        <v>73520</v>
      </c>
      <c r="E27" s="65">
        <v>73520</v>
      </c>
      <c r="F27" s="65">
        <v>73520</v>
      </c>
      <c r="G27" s="174">
        <v>73520</v>
      </c>
      <c r="H27" s="173"/>
      <c r="I27" s="172"/>
      <c r="J27" s="170"/>
      <c r="K27" s="179">
        <f t="shared" si="0"/>
        <v>367600</v>
      </c>
    </row>
    <row r="28" spans="1:11" x14ac:dyDescent="0.25">
      <c r="A28" s="21" t="s">
        <v>27</v>
      </c>
      <c r="B28" s="99">
        <v>0</v>
      </c>
      <c r="C28" s="74">
        <v>73520</v>
      </c>
      <c r="D28" s="65">
        <v>73520</v>
      </c>
      <c r="E28" s="65">
        <v>73520</v>
      </c>
      <c r="F28" s="96"/>
      <c r="G28" s="97"/>
      <c r="H28" s="173"/>
      <c r="I28" s="172"/>
      <c r="J28" s="170"/>
      <c r="K28" s="179">
        <f t="shared" si="0"/>
        <v>220560</v>
      </c>
    </row>
    <row r="29" spans="1:11" x14ac:dyDescent="0.25">
      <c r="A29" s="21" t="s">
        <v>23</v>
      </c>
      <c r="B29" s="99">
        <v>0</v>
      </c>
      <c r="C29" s="74">
        <v>73520</v>
      </c>
      <c r="D29" s="66">
        <v>113133</v>
      </c>
      <c r="E29" s="64"/>
      <c r="F29" s="64"/>
      <c r="G29" s="62"/>
      <c r="H29" s="173"/>
      <c r="I29" s="172"/>
      <c r="J29" s="170"/>
      <c r="K29" s="179">
        <f t="shared" si="0"/>
        <v>186653</v>
      </c>
    </row>
    <row r="30" spans="1:11" x14ac:dyDescent="0.25">
      <c r="A30" s="21" t="s">
        <v>59</v>
      </c>
      <c r="B30" s="99">
        <v>0</v>
      </c>
      <c r="C30" s="77"/>
      <c r="D30" s="64"/>
      <c r="E30" s="64"/>
      <c r="F30" s="64"/>
      <c r="G30" s="62"/>
      <c r="H30" s="173"/>
      <c r="I30" s="172"/>
      <c r="J30" s="170"/>
      <c r="K30" s="179">
        <f t="shared" si="0"/>
        <v>0</v>
      </c>
    </row>
    <row r="31" spans="1:11" ht="15.75" thickBot="1" x14ac:dyDescent="0.3">
      <c r="A31" s="23" t="s">
        <v>10</v>
      </c>
      <c r="B31" s="99">
        <v>0</v>
      </c>
      <c r="C31" s="78"/>
      <c r="D31" s="79"/>
      <c r="E31" s="79"/>
      <c r="F31" s="79"/>
      <c r="G31" s="80"/>
      <c r="H31" s="175"/>
      <c r="I31" s="176"/>
      <c r="J31" s="177"/>
      <c r="K31" s="180">
        <f t="shared" si="0"/>
        <v>0</v>
      </c>
    </row>
  </sheetData>
  <mergeCells count="1">
    <mergeCell ref="C1:G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workbookViewId="0">
      <selection activeCell="H17" sqref="H17"/>
    </sheetView>
  </sheetViews>
  <sheetFormatPr defaultRowHeight="15" x14ac:dyDescent="0.25"/>
  <cols>
    <col min="1" max="1" width="13.7109375" bestFit="1" customWidth="1"/>
    <col min="2" max="2" width="17.7109375" bestFit="1" customWidth="1"/>
    <col min="3" max="3" width="13.7109375" style="99" bestFit="1" customWidth="1"/>
  </cols>
  <sheetData>
    <row r="1" spans="1:3" x14ac:dyDescent="0.25">
      <c r="A1" s="126">
        <v>493465.46086956526</v>
      </c>
      <c r="B1" t="s">
        <v>50</v>
      </c>
      <c r="C1" s="99">
        <v>243829.6</v>
      </c>
    </row>
    <row r="2" spans="1:3" x14ac:dyDescent="0.25">
      <c r="A2" s="127">
        <v>419001.0782608696</v>
      </c>
      <c r="B2" t="s">
        <v>45</v>
      </c>
      <c r="C2" s="99">
        <v>321224</v>
      </c>
    </row>
    <row r="3" spans="1:3" x14ac:dyDescent="0.25">
      <c r="A3" s="127">
        <v>283409.21739130438</v>
      </c>
      <c r="B3" t="s">
        <v>64</v>
      </c>
    </row>
    <row r="4" spans="1:3" x14ac:dyDescent="0.25">
      <c r="A4" s="127">
        <v>242287.09565217391</v>
      </c>
      <c r="B4" t="s">
        <v>60</v>
      </c>
    </row>
    <row r="5" spans="1:3" x14ac:dyDescent="0.25">
      <c r="A5" s="127">
        <v>224504.5565217392</v>
      </c>
      <c r="B5" t="s">
        <v>69</v>
      </c>
      <c r="C5" s="99">
        <v>174184</v>
      </c>
    </row>
    <row r="6" spans="1:3" x14ac:dyDescent="0.25">
      <c r="A6" s="127">
        <v>207833.42608695655</v>
      </c>
      <c r="B6" t="s">
        <v>48</v>
      </c>
      <c r="C6" s="99">
        <v>113133.6</v>
      </c>
    </row>
    <row r="7" spans="1:3" x14ac:dyDescent="0.25">
      <c r="A7" s="127">
        <v>206722.01739130437</v>
      </c>
      <c r="B7" t="s">
        <v>46</v>
      </c>
      <c r="C7" s="99">
        <v>226267.2</v>
      </c>
    </row>
    <row r="8" spans="1:3" x14ac:dyDescent="0.25">
      <c r="A8" s="127">
        <v>205610.60869565216</v>
      </c>
      <c r="B8" t="s">
        <v>43</v>
      </c>
    </row>
    <row r="9" spans="1:3" x14ac:dyDescent="0.25">
      <c r="A9" s="127">
        <v>184493.84347826091</v>
      </c>
      <c r="B9" t="s">
        <v>54</v>
      </c>
      <c r="C9" s="99">
        <v>226267.2</v>
      </c>
    </row>
    <row r="10" spans="1:3" x14ac:dyDescent="0.25">
      <c r="A10" s="127">
        <v>163377.07826086957</v>
      </c>
      <c r="B10" t="s">
        <v>66</v>
      </c>
      <c r="C10" s="99">
        <v>61050.400000000001</v>
      </c>
    </row>
    <row r="11" spans="1:3" x14ac:dyDescent="0.25">
      <c r="A11" s="127">
        <v>161154.26086956525</v>
      </c>
      <c r="B11" t="s">
        <v>58</v>
      </c>
    </row>
    <row r="12" spans="1:3" x14ac:dyDescent="0.25">
      <c r="A12" s="127">
        <v>160042.85217391307</v>
      </c>
      <c r="B12" t="s">
        <v>61</v>
      </c>
    </row>
    <row r="13" spans="1:3" x14ac:dyDescent="0.25">
      <c r="A13" s="127">
        <v>153374.40000000005</v>
      </c>
      <c r="B13" t="s">
        <v>47</v>
      </c>
    </row>
    <row r="14" spans="1:3" x14ac:dyDescent="0.25">
      <c r="A14" s="127">
        <v>152262.99130434784</v>
      </c>
      <c r="B14" t="s">
        <v>65</v>
      </c>
    </row>
    <row r="15" spans="1:3" x14ac:dyDescent="0.25">
      <c r="A15" s="127">
        <v>147817.35652173916</v>
      </c>
      <c r="B15" t="s">
        <v>49</v>
      </c>
      <c r="C15" s="99">
        <v>61050.400000000001</v>
      </c>
    </row>
    <row r="16" spans="1:3" x14ac:dyDescent="0.25">
      <c r="A16" s="127">
        <v>147817.35652173916</v>
      </c>
      <c r="B16" t="s">
        <v>51</v>
      </c>
      <c r="C16" s="99">
        <v>367600</v>
      </c>
    </row>
    <row r="17" spans="1:3" x14ac:dyDescent="0.25">
      <c r="A17" s="127">
        <v>147817.35652173916</v>
      </c>
      <c r="B17" t="s">
        <v>63</v>
      </c>
    </row>
    <row r="18" spans="1:3" x14ac:dyDescent="0.25">
      <c r="A18" s="127">
        <v>143371.72173913047</v>
      </c>
      <c r="B18" t="s">
        <v>62</v>
      </c>
      <c r="C18" s="99">
        <v>122100.8</v>
      </c>
    </row>
    <row r="19" spans="1:3" x14ac:dyDescent="0.25">
      <c r="A19" s="127">
        <v>134480.45217391307</v>
      </c>
      <c r="B19" t="s">
        <v>52</v>
      </c>
    </row>
    <row r="20" spans="1:3" x14ac:dyDescent="0.25">
      <c r="A20" s="127">
        <v>130034.81739130436</v>
      </c>
      <c r="B20" t="s">
        <v>57</v>
      </c>
      <c r="C20" s="99">
        <v>91389.6</v>
      </c>
    </row>
    <row r="21" spans="1:3" x14ac:dyDescent="0.25">
      <c r="A21" s="127">
        <v>111140.86956521741</v>
      </c>
      <c r="B21" t="s">
        <v>53</v>
      </c>
    </row>
    <row r="22" spans="1:3" x14ac:dyDescent="0.25">
      <c r="A22" s="127">
        <v>91135.513043478277</v>
      </c>
      <c r="B22" t="s">
        <v>94</v>
      </c>
      <c r="C22" s="99">
        <v>61050.400000000001</v>
      </c>
    </row>
    <row r="23" spans="1:3" x14ac:dyDescent="0.25">
      <c r="A23" s="127">
        <v>90024.104347826098</v>
      </c>
      <c r="B23" t="s">
        <v>27</v>
      </c>
      <c r="C23" s="99">
        <v>220560</v>
      </c>
    </row>
    <row r="24" spans="1:3" x14ac:dyDescent="0.25">
      <c r="A24" s="127">
        <v>87801.286956521755</v>
      </c>
      <c r="B24" t="s">
        <v>11</v>
      </c>
    </row>
    <row r="25" spans="1:3" x14ac:dyDescent="0.25">
      <c r="A25" s="127">
        <v>81132.834782608712</v>
      </c>
      <c r="B25" t="s">
        <v>8</v>
      </c>
    </row>
    <row r="26" spans="1:3" x14ac:dyDescent="0.25">
      <c r="A26" s="127">
        <v>64461.704347826104</v>
      </c>
      <c r="B26" t="s">
        <v>23</v>
      </c>
      <c r="C26" s="99">
        <v>186653.6</v>
      </c>
    </row>
    <row r="27" spans="1:3" x14ac:dyDescent="0.25">
      <c r="A27" s="127">
        <v>62238.886956521746</v>
      </c>
      <c r="B27" t="s">
        <v>44</v>
      </c>
    </row>
    <row r="28" spans="1:3" x14ac:dyDescent="0.25">
      <c r="A28" s="127">
        <v>32230.852173913045</v>
      </c>
      <c r="B28" t="s">
        <v>56</v>
      </c>
    </row>
    <row r="29" spans="1:3" x14ac:dyDescent="0.25">
      <c r="A29" s="127">
        <v>16671.130434782612</v>
      </c>
      <c r="B29" t="s">
        <v>59</v>
      </c>
    </row>
    <row r="30" spans="1:3" x14ac:dyDescent="0.25">
      <c r="A30" s="127">
        <v>-16671.130434782612</v>
      </c>
      <c r="B30" t="s">
        <v>10</v>
      </c>
    </row>
  </sheetData>
  <sortState ref="A1:C30">
    <sortCondition descending="1" ref="A1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workbookViewId="0">
      <selection activeCell="H17" sqref="H17"/>
    </sheetView>
  </sheetViews>
  <sheetFormatPr defaultRowHeight="15" x14ac:dyDescent="0.25"/>
  <cols>
    <col min="1" max="1" width="18.28515625" bestFit="1" customWidth="1"/>
    <col min="2" max="2" width="17.7109375" bestFit="1" customWidth="1"/>
    <col min="3" max="12" width="0" hidden="1" customWidth="1"/>
  </cols>
  <sheetData>
    <row r="1" spans="1:17" ht="15.75" thickBot="1" x14ac:dyDescent="0.3">
      <c r="A1" s="123" t="s">
        <v>125</v>
      </c>
      <c r="B1" s="4" t="s">
        <v>70</v>
      </c>
      <c r="C1" s="81">
        <v>1</v>
      </c>
      <c r="D1" s="82">
        <v>2</v>
      </c>
      <c r="E1" s="82">
        <v>3</v>
      </c>
      <c r="F1" s="82">
        <v>4</v>
      </c>
      <c r="G1" s="83">
        <v>5</v>
      </c>
      <c r="H1" s="259" t="s">
        <v>128</v>
      </c>
      <c r="I1" s="260"/>
      <c r="J1" s="260"/>
      <c r="K1" s="260"/>
      <c r="L1" s="261"/>
      <c r="M1" s="18" t="s">
        <v>74</v>
      </c>
      <c r="N1" s="33" t="s">
        <v>75</v>
      </c>
      <c r="O1" s="33" t="s">
        <v>76</v>
      </c>
      <c r="P1" s="33" t="s">
        <v>77</v>
      </c>
      <c r="Q1" s="33" t="s">
        <v>78</v>
      </c>
    </row>
    <row r="2" spans="1:17" ht="45" x14ac:dyDescent="0.25">
      <c r="A2" s="125">
        <v>283409.21739130438</v>
      </c>
      <c r="B2" t="s">
        <v>64</v>
      </c>
      <c r="C2" s="133" t="s">
        <v>91</v>
      </c>
      <c r="D2" s="135" t="s">
        <v>91</v>
      </c>
      <c r="E2" s="52" t="s">
        <v>90</v>
      </c>
      <c r="F2" s="51" t="s">
        <v>89</v>
      </c>
      <c r="G2" s="54"/>
      <c r="H2" s="50" t="s">
        <v>4</v>
      </c>
      <c r="I2" s="50" t="s">
        <v>4</v>
      </c>
      <c r="J2" s="42" t="s">
        <v>89</v>
      </c>
      <c r="K2" s="103"/>
      <c r="L2" s="103"/>
      <c r="M2" s="52" t="s">
        <v>90</v>
      </c>
      <c r="N2" s="63" t="s">
        <v>90</v>
      </c>
      <c r="O2" s="63" t="s">
        <v>90</v>
      </c>
    </row>
    <row r="3" spans="1:17" ht="45" x14ac:dyDescent="0.25">
      <c r="A3" s="125">
        <v>249635.86086956525</v>
      </c>
      <c r="B3" t="s">
        <v>50</v>
      </c>
      <c r="C3" s="72" t="s">
        <v>4</v>
      </c>
      <c r="D3" s="58" t="s">
        <v>89</v>
      </c>
      <c r="E3" s="57" t="s">
        <v>90</v>
      </c>
      <c r="F3" s="64">
        <v>0</v>
      </c>
      <c r="G3" s="62">
        <v>0</v>
      </c>
      <c r="H3" s="47" t="s">
        <v>42</v>
      </c>
      <c r="I3" s="47" t="s">
        <v>42</v>
      </c>
      <c r="J3" s="42" t="s">
        <v>89</v>
      </c>
      <c r="K3" s="45" t="s">
        <v>1</v>
      </c>
      <c r="L3" s="45"/>
      <c r="M3" s="72" t="s">
        <v>4</v>
      </c>
      <c r="N3" s="63" t="s">
        <v>90</v>
      </c>
      <c r="O3" s="63" t="s">
        <v>90</v>
      </c>
    </row>
    <row r="4" spans="1:17" ht="45" x14ac:dyDescent="0.25">
      <c r="A4" s="125">
        <v>242287.09565217391</v>
      </c>
      <c r="B4" t="s">
        <v>60</v>
      </c>
      <c r="C4" s="63" t="s">
        <v>90</v>
      </c>
      <c r="D4" s="56" t="s">
        <v>4</v>
      </c>
      <c r="E4" s="64">
        <v>0</v>
      </c>
      <c r="F4" s="64">
        <v>0</v>
      </c>
      <c r="G4" s="62">
        <v>0</v>
      </c>
      <c r="H4" s="104"/>
      <c r="I4" s="104"/>
      <c r="J4" s="104"/>
      <c r="K4" s="104"/>
      <c r="L4" s="104"/>
      <c r="M4" s="63" t="s">
        <v>90</v>
      </c>
      <c r="N4" s="63" t="s">
        <v>90</v>
      </c>
    </row>
    <row r="5" spans="1:17" ht="45" x14ac:dyDescent="0.25">
      <c r="A5" s="125">
        <v>205610.60869565216</v>
      </c>
      <c r="B5" t="s">
        <v>43</v>
      </c>
      <c r="C5" s="69" t="s">
        <v>89</v>
      </c>
      <c r="D5" s="57" t="s">
        <v>90</v>
      </c>
      <c r="E5" s="57" t="s">
        <v>90</v>
      </c>
      <c r="F5" s="57" t="s">
        <v>90</v>
      </c>
      <c r="G5" s="70">
        <v>0</v>
      </c>
      <c r="H5" s="104"/>
      <c r="I5" s="104"/>
      <c r="J5" s="104"/>
      <c r="K5" s="104"/>
      <c r="L5" s="104"/>
      <c r="M5" s="69" t="s">
        <v>89</v>
      </c>
      <c r="N5" s="63" t="s">
        <v>90</v>
      </c>
      <c r="O5" s="63" t="s">
        <v>90</v>
      </c>
    </row>
    <row r="6" spans="1:17" ht="45" x14ac:dyDescent="0.25">
      <c r="A6" s="125">
        <v>161154.26086956525</v>
      </c>
      <c r="B6" t="s">
        <v>58</v>
      </c>
      <c r="C6" s="72" t="s">
        <v>4</v>
      </c>
      <c r="D6" s="66" t="s">
        <v>1</v>
      </c>
      <c r="E6" s="67" t="s">
        <v>7</v>
      </c>
      <c r="F6" s="64">
        <v>0</v>
      </c>
      <c r="G6" s="62">
        <v>0</v>
      </c>
      <c r="H6" s="139"/>
      <c r="I6" s="139"/>
      <c r="J6" s="136"/>
      <c r="K6" s="136"/>
      <c r="L6" s="136"/>
      <c r="M6" s="63" t="s">
        <v>90</v>
      </c>
      <c r="N6" s="63" t="s">
        <v>90</v>
      </c>
      <c r="O6" s="63" t="s">
        <v>90</v>
      </c>
    </row>
    <row r="7" spans="1:17" x14ac:dyDescent="0.25">
      <c r="A7" s="125">
        <v>160042.85217391307</v>
      </c>
      <c r="B7" t="s">
        <v>61</v>
      </c>
      <c r="C7" s="72" t="s">
        <v>4</v>
      </c>
      <c r="D7" s="67" t="s">
        <v>7</v>
      </c>
      <c r="E7" s="66" t="s">
        <v>1</v>
      </c>
      <c r="F7" s="64">
        <v>0</v>
      </c>
      <c r="G7" s="62">
        <v>0</v>
      </c>
      <c r="H7" s="72" t="s">
        <v>4</v>
      </c>
      <c r="I7" s="147" t="s">
        <v>42</v>
      </c>
      <c r="J7" s="147" t="s">
        <v>42</v>
      </c>
      <c r="K7" s="147" t="s">
        <v>42</v>
      </c>
      <c r="L7" s="150"/>
      <c r="M7" s="154"/>
    </row>
    <row r="8" spans="1:17" ht="45" x14ac:dyDescent="0.25">
      <c r="A8" s="125">
        <v>153374.40000000005</v>
      </c>
      <c r="B8" t="s">
        <v>47</v>
      </c>
      <c r="C8" s="69" t="s">
        <v>89</v>
      </c>
      <c r="D8" s="56" t="s">
        <v>4</v>
      </c>
      <c r="E8" s="64">
        <v>0</v>
      </c>
      <c r="F8" s="64">
        <v>0</v>
      </c>
      <c r="G8" s="62">
        <v>0</v>
      </c>
      <c r="H8" s="64"/>
      <c r="I8" s="64"/>
      <c r="J8" s="105"/>
      <c r="K8" s="105"/>
      <c r="L8" s="105"/>
      <c r="M8" s="69" t="s">
        <v>89</v>
      </c>
      <c r="N8" s="63" t="s">
        <v>90</v>
      </c>
    </row>
    <row r="9" spans="1:17" ht="45" x14ac:dyDescent="0.25">
      <c r="A9" s="125">
        <v>152262.99130434784</v>
      </c>
      <c r="B9" t="s">
        <v>65</v>
      </c>
      <c r="C9" s="69" t="s">
        <v>89</v>
      </c>
      <c r="D9" s="61" t="s">
        <v>91</v>
      </c>
      <c r="E9" s="64">
        <v>0</v>
      </c>
      <c r="F9" s="64">
        <v>0</v>
      </c>
      <c r="G9" s="62">
        <v>0</v>
      </c>
      <c r="H9" s="104"/>
      <c r="I9" s="104"/>
      <c r="J9" s="104"/>
      <c r="K9" s="104"/>
      <c r="L9" s="104"/>
      <c r="M9" s="63" t="s">
        <v>90</v>
      </c>
    </row>
    <row r="10" spans="1:17" ht="45" x14ac:dyDescent="0.25">
      <c r="A10" s="125">
        <v>147817.35652173916</v>
      </c>
      <c r="B10" t="s">
        <v>63</v>
      </c>
      <c r="C10" s="73" t="s">
        <v>7</v>
      </c>
      <c r="D10" s="56" t="s">
        <v>4</v>
      </c>
      <c r="E10" s="64">
        <v>0</v>
      </c>
      <c r="F10" s="64">
        <v>0</v>
      </c>
      <c r="G10" s="62">
        <v>0</v>
      </c>
      <c r="H10" s="64"/>
      <c r="I10" s="64"/>
      <c r="J10" s="105"/>
      <c r="K10" s="105"/>
      <c r="L10" s="105"/>
      <c r="M10" s="63" t="s">
        <v>90</v>
      </c>
    </row>
    <row r="11" spans="1:17" ht="45.75" thickBot="1" x14ac:dyDescent="0.3">
      <c r="A11" s="125">
        <v>134480.45217391307</v>
      </c>
      <c r="B11" t="s">
        <v>52</v>
      </c>
      <c r="C11" s="69" t="s">
        <v>89</v>
      </c>
      <c r="D11" s="57" t="s">
        <v>90</v>
      </c>
      <c r="E11" s="56" t="s">
        <v>4</v>
      </c>
      <c r="F11" s="56" t="s">
        <v>4</v>
      </c>
      <c r="G11" s="71" t="s">
        <v>89</v>
      </c>
      <c r="H11" s="42" t="s">
        <v>89</v>
      </c>
      <c r="I11" s="146" t="s">
        <v>89</v>
      </c>
      <c r="J11" s="105"/>
      <c r="K11" s="105"/>
      <c r="L11" s="105"/>
      <c r="M11" s="72" t="s">
        <v>4</v>
      </c>
      <c r="N11" s="63" t="s">
        <v>90</v>
      </c>
    </row>
    <row r="12" spans="1:17" ht="45" x14ac:dyDescent="0.25">
      <c r="A12" s="125">
        <v>111140.86956521741</v>
      </c>
      <c r="B12" t="s">
        <v>53</v>
      </c>
      <c r="C12" s="69" t="s">
        <v>89</v>
      </c>
      <c r="D12" s="57" t="s">
        <v>90</v>
      </c>
      <c r="E12" s="57" t="s">
        <v>90</v>
      </c>
      <c r="F12" s="56" t="s">
        <v>4</v>
      </c>
      <c r="G12" s="68" t="s">
        <v>1</v>
      </c>
      <c r="H12" s="50" t="s">
        <v>4</v>
      </c>
      <c r="I12" s="96"/>
      <c r="J12" s="96"/>
      <c r="K12" s="96"/>
      <c r="L12" s="151"/>
      <c r="M12" s="57" t="s">
        <v>90</v>
      </c>
    </row>
    <row r="13" spans="1:17" ht="45" x14ac:dyDescent="0.25">
      <c r="A13" s="125">
        <v>102326.67826086958</v>
      </c>
      <c r="B13" t="s">
        <v>66</v>
      </c>
      <c r="C13" s="69" t="s">
        <v>89</v>
      </c>
      <c r="D13" s="56" t="s">
        <v>4</v>
      </c>
      <c r="E13" s="58" t="s">
        <v>89</v>
      </c>
      <c r="F13" s="58" t="s">
        <v>89</v>
      </c>
      <c r="G13" s="71" t="s">
        <v>89</v>
      </c>
      <c r="H13" s="119"/>
      <c r="I13" s="119"/>
      <c r="J13" s="119"/>
      <c r="K13" s="119"/>
      <c r="L13" s="119"/>
      <c r="M13" s="57" t="s">
        <v>90</v>
      </c>
    </row>
    <row r="14" spans="1:17" ht="45" x14ac:dyDescent="0.25">
      <c r="A14" s="125">
        <v>97777</v>
      </c>
      <c r="B14" t="s">
        <v>45</v>
      </c>
      <c r="C14" s="55" t="s">
        <v>1</v>
      </c>
      <c r="D14" s="56" t="s">
        <v>4</v>
      </c>
      <c r="E14" s="57" t="s">
        <v>90</v>
      </c>
      <c r="F14" s="58" t="s">
        <v>89</v>
      </c>
      <c r="G14" s="59" t="s">
        <v>7</v>
      </c>
      <c r="H14" s="47" t="s">
        <v>42</v>
      </c>
      <c r="I14" s="47" t="s">
        <v>42</v>
      </c>
      <c r="J14" s="42" t="s">
        <v>89</v>
      </c>
      <c r="K14" s="45" t="s">
        <v>1</v>
      </c>
      <c r="L14" s="119"/>
      <c r="M14" s="57" t="s">
        <v>90</v>
      </c>
    </row>
    <row r="15" spans="1:17" ht="30" x14ac:dyDescent="0.25">
      <c r="A15" s="125">
        <v>94699.826086956542</v>
      </c>
      <c r="B15" t="s">
        <v>48</v>
      </c>
      <c r="C15" s="55" t="s">
        <v>1</v>
      </c>
      <c r="D15" s="61" t="s">
        <v>91</v>
      </c>
      <c r="E15" s="65" t="s">
        <v>42</v>
      </c>
      <c r="F15" s="58" t="s">
        <v>89</v>
      </c>
      <c r="G15" s="62">
        <v>0</v>
      </c>
      <c r="H15" s="107" t="s">
        <v>1</v>
      </c>
      <c r="I15" s="104"/>
      <c r="J15" s="104"/>
      <c r="K15" s="104"/>
      <c r="L15" s="104"/>
      <c r="M15" s="55" t="s">
        <v>1</v>
      </c>
    </row>
    <row r="16" spans="1:17" ht="45" x14ac:dyDescent="0.25">
      <c r="A16" s="125">
        <v>87801.286956521755</v>
      </c>
      <c r="B16" t="s">
        <v>11</v>
      </c>
      <c r="C16" s="69" t="s">
        <v>89</v>
      </c>
      <c r="D16" s="64">
        <v>0</v>
      </c>
      <c r="E16" s="64">
        <v>0</v>
      </c>
      <c r="F16" s="64">
        <v>0</v>
      </c>
      <c r="G16" s="62">
        <v>0</v>
      </c>
      <c r="H16" s="64"/>
      <c r="I16" s="64"/>
      <c r="J16" s="64"/>
      <c r="K16" s="64"/>
      <c r="L16" s="152"/>
      <c r="M16" s="63" t="s">
        <v>90</v>
      </c>
    </row>
    <row r="17" spans="1:13" ht="45" x14ac:dyDescent="0.25">
      <c r="A17" s="125">
        <v>86766.956521739165</v>
      </c>
      <c r="B17" t="s">
        <v>49</v>
      </c>
      <c r="C17" s="72" t="s">
        <v>4</v>
      </c>
      <c r="D17" s="64">
        <v>0</v>
      </c>
      <c r="E17" s="64">
        <v>0</v>
      </c>
      <c r="F17" s="64">
        <v>0</v>
      </c>
      <c r="G17" s="62">
        <v>0</v>
      </c>
      <c r="H17" s="42" t="s">
        <v>89</v>
      </c>
      <c r="I17" s="13"/>
      <c r="J17" s="13"/>
      <c r="K17" s="13"/>
      <c r="L17" s="13"/>
      <c r="M17" s="63" t="s">
        <v>90</v>
      </c>
    </row>
    <row r="18" spans="1:13" ht="45" x14ac:dyDescent="0.25">
      <c r="A18" s="125">
        <v>81132.834782608712</v>
      </c>
      <c r="B18" t="s">
        <v>8</v>
      </c>
      <c r="C18" s="69" t="s">
        <v>89</v>
      </c>
      <c r="D18" s="56" t="s">
        <v>4</v>
      </c>
      <c r="E18" s="56" t="s">
        <v>4</v>
      </c>
      <c r="F18" s="67" t="s">
        <v>7</v>
      </c>
      <c r="G18" s="76">
        <v>0</v>
      </c>
      <c r="H18" s="141"/>
      <c r="I18" s="141"/>
      <c r="J18" s="137"/>
      <c r="K18" s="137"/>
      <c r="L18" s="137"/>
      <c r="M18" s="63" t="s">
        <v>90</v>
      </c>
    </row>
    <row r="19" spans="1:13" ht="45.75" thickBot="1" x14ac:dyDescent="0.3">
      <c r="A19" s="125">
        <v>62238.886956521746</v>
      </c>
      <c r="B19" t="s">
        <v>44</v>
      </c>
      <c r="C19" s="63" t="s">
        <v>90</v>
      </c>
      <c r="D19" s="66" t="s">
        <v>1</v>
      </c>
      <c r="E19" s="56" t="s">
        <v>4</v>
      </c>
      <c r="F19" s="64">
        <v>0</v>
      </c>
      <c r="G19" s="62">
        <v>0</v>
      </c>
      <c r="H19" s="104"/>
      <c r="I19" s="104"/>
      <c r="J19" s="104"/>
      <c r="K19" s="104"/>
      <c r="L19" s="104"/>
      <c r="M19" s="63" t="s">
        <v>90</v>
      </c>
    </row>
    <row r="20" spans="1:13" ht="45" x14ac:dyDescent="0.25">
      <c r="A20" s="125">
        <v>50320.5565217392</v>
      </c>
      <c r="B20" t="s">
        <v>69</v>
      </c>
      <c r="C20" s="55" t="s">
        <v>1</v>
      </c>
      <c r="D20" s="58" t="s">
        <v>89</v>
      </c>
      <c r="E20" s="64">
        <v>0</v>
      </c>
      <c r="F20" s="64">
        <v>0</v>
      </c>
      <c r="G20" s="62">
        <v>0</v>
      </c>
      <c r="H20" s="143" t="s">
        <v>89</v>
      </c>
      <c r="I20" s="148" t="s">
        <v>1</v>
      </c>
      <c r="J20" s="105"/>
      <c r="K20" s="105"/>
      <c r="L20" s="105"/>
      <c r="M20" s="63" t="s">
        <v>90</v>
      </c>
    </row>
    <row r="21" spans="1:13" ht="45" x14ac:dyDescent="0.25">
      <c r="A21" s="125">
        <v>38645.217391304352</v>
      </c>
      <c r="B21" t="s">
        <v>57</v>
      </c>
      <c r="C21" s="63" t="s">
        <v>90</v>
      </c>
      <c r="D21" s="57" t="s">
        <v>90</v>
      </c>
      <c r="E21" s="66" t="s">
        <v>1</v>
      </c>
      <c r="F21" s="64">
        <v>0</v>
      </c>
      <c r="G21" s="62">
        <v>0</v>
      </c>
      <c r="H21" s="104"/>
      <c r="I21" s="104"/>
      <c r="J21" s="104"/>
      <c r="K21" s="104"/>
      <c r="L21" s="104"/>
      <c r="M21" s="63" t="s">
        <v>90</v>
      </c>
    </row>
    <row r="22" spans="1:13" ht="45" x14ac:dyDescent="0.25">
      <c r="A22" s="125">
        <v>32230.852173913045</v>
      </c>
      <c r="B22" t="s">
        <v>56</v>
      </c>
      <c r="C22" s="72" t="s">
        <v>4</v>
      </c>
      <c r="D22" s="66" t="s">
        <v>1</v>
      </c>
      <c r="E22" s="58" t="s">
        <v>89</v>
      </c>
      <c r="F22" s="57" t="s">
        <v>90</v>
      </c>
      <c r="G22" s="59" t="s">
        <v>7</v>
      </c>
      <c r="H22" s="119"/>
      <c r="I22" s="119"/>
      <c r="J22" s="119"/>
      <c r="K22" s="119"/>
      <c r="L22" s="119"/>
      <c r="M22" s="63" t="s">
        <v>90</v>
      </c>
    </row>
    <row r="23" spans="1:13" ht="30" x14ac:dyDescent="0.25">
      <c r="A23" s="125">
        <v>30085.113043478275</v>
      </c>
      <c r="B23" t="s">
        <v>94</v>
      </c>
      <c r="C23" s="49" t="s">
        <v>4</v>
      </c>
      <c r="D23" s="96"/>
      <c r="E23" s="96"/>
      <c r="F23" s="96"/>
      <c r="G23" s="97"/>
      <c r="H23" s="42" t="s">
        <v>89</v>
      </c>
      <c r="I23" s="108"/>
      <c r="J23" s="108"/>
      <c r="K23" s="108"/>
      <c r="L23" s="108"/>
    </row>
    <row r="24" spans="1:13" x14ac:dyDescent="0.25">
      <c r="A24" s="125">
        <v>21270.92173913047</v>
      </c>
      <c r="B24" t="s">
        <v>62</v>
      </c>
      <c r="C24" s="72" t="s">
        <v>4</v>
      </c>
      <c r="D24" s="64">
        <v>0</v>
      </c>
      <c r="E24" s="64">
        <v>0</v>
      </c>
      <c r="F24" s="64">
        <v>0</v>
      </c>
      <c r="G24" s="62">
        <v>0</v>
      </c>
      <c r="H24" s="64"/>
      <c r="I24" s="64"/>
      <c r="J24" s="64"/>
      <c r="K24" s="105"/>
      <c r="L24" s="105"/>
    </row>
    <row r="25" spans="1:13" x14ac:dyDescent="0.25">
      <c r="A25" s="125">
        <v>0</v>
      </c>
      <c r="B25" t="s">
        <v>46</v>
      </c>
      <c r="C25" s="55" t="s">
        <v>1</v>
      </c>
      <c r="D25" s="66" t="s">
        <v>1</v>
      </c>
      <c r="E25" s="67" t="s">
        <v>7</v>
      </c>
      <c r="F25" s="56" t="s">
        <v>4</v>
      </c>
      <c r="G25" s="68" t="s">
        <v>1</v>
      </c>
      <c r="H25" s="142" t="s">
        <v>1</v>
      </c>
      <c r="I25" s="142" t="s">
        <v>1</v>
      </c>
      <c r="J25" s="119"/>
      <c r="K25" s="119"/>
      <c r="L25" s="119"/>
    </row>
    <row r="26" spans="1:13" ht="30" x14ac:dyDescent="0.25">
      <c r="A26" s="125">
        <v>0</v>
      </c>
      <c r="B26" t="s">
        <v>54</v>
      </c>
      <c r="C26" s="55" t="s">
        <v>1</v>
      </c>
      <c r="D26" s="66" t="s">
        <v>1</v>
      </c>
      <c r="E26" s="58" t="s">
        <v>89</v>
      </c>
      <c r="F26" s="64">
        <v>0</v>
      </c>
      <c r="G26" s="62">
        <v>0</v>
      </c>
      <c r="H26" s="142" t="s">
        <v>1</v>
      </c>
      <c r="I26" s="142" t="s">
        <v>1</v>
      </c>
      <c r="J26" s="104"/>
      <c r="K26" s="104"/>
      <c r="L26" s="104"/>
    </row>
    <row r="27" spans="1:13" ht="45" x14ac:dyDescent="0.25">
      <c r="A27" s="125">
        <v>0</v>
      </c>
      <c r="B27" t="s">
        <v>51</v>
      </c>
      <c r="C27" s="69" t="s">
        <v>89</v>
      </c>
      <c r="D27" s="61" t="s">
        <v>91</v>
      </c>
      <c r="E27" s="57" t="s">
        <v>90</v>
      </c>
      <c r="F27" s="58" t="s">
        <v>89</v>
      </c>
      <c r="G27" s="71" t="s">
        <v>89</v>
      </c>
      <c r="H27" s="47" t="s">
        <v>42</v>
      </c>
      <c r="I27" s="47" t="s">
        <v>42</v>
      </c>
      <c r="J27" s="147" t="s">
        <v>42</v>
      </c>
      <c r="K27" s="147" t="s">
        <v>42</v>
      </c>
      <c r="L27" s="147" t="s">
        <v>42</v>
      </c>
    </row>
    <row r="28" spans="1:13" ht="30" x14ac:dyDescent="0.25">
      <c r="A28" s="125">
        <v>0</v>
      </c>
      <c r="B28" t="s">
        <v>27</v>
      </c>
      <c r="C28" s="74" t="s">
        <v>42</v>
      </c>
      <c r="D28" s="61" t="s">
        <v>91</v>
      </c>
      <c r="E28" s="65" t="s">
        <v>42</v>
      </c>
      <c r="F28" s="61" t="s">
        <v>91</v>
      </c>
      <c r="G28" s="75" t="s">
        <v>91</v>
      </c>
      <c r="H28" s="145" t="s">
        <v>42</v>
      </c>
      <c r="I28" s="145" t="s">
        <v>42</v>
      </c>
      <c r="J28" s="145" t="s">
        <v>42</v>
      </c>
      <c r="K28" s="119"/>
      <c r="L28" s="119"/>
    </row>
    <row r="29" spans="1:13" ht="30" x14ac:dyDescent="0.25">
      <c r="A29" s="125">
        <v>0</v>
      </c>
      <c r="B29" t="s">
        <v>23</v>
      </c>
      <c r="C29" s="55" t="s">
        <v>1</v>
      </c>
      <c r="D29" s="58" t="s">
        <v>89</v>
      </c>
      <c r="E29" s="67" t="s">
        <v>7</v>
      </c>
      <c r="F29" s="64">
        <v>0</v>
      </c>
      <c r="G29" s="62">
        <v>0</v>
      </c>
      <c r="H29" s="144" t="s">
        <v>42</v>
      </c>
      <c r="I29" s="149" t="s">
        <v>1</v>
      </c>
      <c r="J29" s="138"/>
      <c r="K29" s="138"/>
      <c r="L29" s="138"/>
    </row>
    <row r="30" spans="1:13" x14ac:dyDescent="0.25">
      <c r="A30" s="125">
        <v>0</v>
      </c>
      <c r="B30" t="s">
        <v>59</v>
      </c>
      <c r="C30" s="77">
        <v>0</v>
      </c>
      <c r="D30" s="64">
        <v>0</v>
      </c>
      <c r="E30" s="64">
        <v>0</v>
      </c>
      <c r="F30" s="64">
        <v>0</v>
      </c>
      <c r="G30" s="62">
        <v>0</v>
      </c>
      <c r="H30" s="105"/>
      <c r="I30" s="105"/>
      <c r="J30" s="105"/>
      <c r="K30" s="105"/>
      <c r="L30" s="105"/>
    </row>
    <row r="31" spans="1:13" ht="15.75" thickBot="1" x14ac:dyDescent="0.3">
      <c r="A31" s="125">
        <v>0</v>
      </c>
      <c r="B31" t="s">
        <v>10</v>
      </c>
      <c r="C31" s="78">
        <v>0</v>
      </c>
      <c r="D31" s="79">
        <v>0</v>
      </c>
      <c r="E31" s="79">
        <v>0</v>
      </c>
      <c r="F31" s="79">
        <v>0</v>
      </c>
      <c r="G31" s="80">
        <v>0</v>
      </c>
      <c r="H31" s="110"/>
      <c r="I31" s="110"/>
      <c r="J31" s="110"/>
      <c r="K31" s="110"/>
      <c r="L31" s="110"/>
    </row>
    <row r="33" spans="13:13" x14ac:dyDescent="0.25">
      <c r="M33">
        <f>COUNTIF(M2:R31,C21)</f>
        <v>26</v>
      </c>
    </row>
  </sheetData>
  <sortState ref="A2:L31">
    <sortCondition descending="1" ref="A32"/>
  </sortState>
  <mergeCells count="1">
    <mergeCell ref="H1:L1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1"/>
  <sheetViews>
    <sheetView workbookViewId="0">
      <selection activeCell="H17" sqref="H17"/>
    </sheetView>
  </sheetViews>
  <sheetFormatPr defaultRowHeight="15" x14ac:dyDescent="0.25"/>
  <cols>
    <col min="1" max="1" width="17.7109375" bestFit="1" customWidth="1"/>
    <col min="2" max="6" width="8.85546875" hidden="1" customWidth="1"/>
    <col min="15" max="15" width="14.7109375" bestFit="1" customWidth="1"/>
    <col min="19" max="19" width="5.85546875" bestFit="1" customWidth="1"/>
    <col min="20" max="20" width="12.7109375" bestFit="1" customWidth="1"/>
    <col min="21" max="21" width="7.7109375" bestFit="1" customWidth="1"/>
    <col min="22" max="22" width="12.7109375" bestFit="1" customWidth="1"/>
    <col min="23" max="23" width="7.5703125" bestFit="1" customWidth="1"/>
    <col min="24" max="24" width="12.7109375" bestFit="1" customWidth="1"/>
    <col min="25" max="25" width="7.7109375" bestFit="1" customWidth="1"/>
    <col min="26" max="26" width="13.7109375" bestFit="1" customWidth="1"/>
    <col min="27" max="27" width="9.5703125" bestFit="1" customWidth="1"/>
    <col min="28" max="28" width="12.7109375" bestFit="1" customWidth="1"/>
    <col min="29" max="29" width="9" bestFit="1" customWidth="1"/>
    <col min="30" max="30" width="12.7109375" bestFit="1" customWidth="1"/>
  </cols>
  <sheetData>
    <row r="1" spans="1:30" ht="15.75" thickBot="1" x14ac:dyDescent="0.3">
      <c r="O1" t="s">
        <v>131</v>
      </c>
    </row>
    <row r="2" spans="1:30" ht="17.45" customHeight="1" x14ac:dyDescent="0.25">
      <c r="A2" t="s">
        <v>50</v>
      </c>
      <c r="B2" s="50">
        <v>91386</v>
      </c>
      <c r="C2" s="51">
        <v>61050</v>
      </c>
      <c r="D2" s="52">
        <v>41600</v>
      </c>
      <c r="E2" s="53">
        <v>0</v>
      </c>
      <c r="F2" s="54">
        <v>0</v>
      </c>
      <c r="G2" s="155">
        <v>73520</v>
      </c>
      <c r="H2" s="155">
        <v>73520</v>
      </c>
      <c r="I2" s="42">
        <v>61050</v>
      </c>
      <c r="J2" s="158">
        <v>113133</v>
      </c>
      <c r="K2" s="158"/>
      <c r="L2" s="160">
        <v>91386</v>
      </c>
      <c r="M2" s="63">
        <v>41600</v>
      </c>
      <c r="N2" s="63">
        <v>41600</v>
      </c>
      <c r="O2" s="99">
        <f t="shared" ref="O2:O31" si="0">SUM(G2:N2)</f>
        <v>495809</v>
      </c>
      <c r="S2" s="3" t="s">
        <v>129</v>
      </c>
      <c r="T2" s="99">
        <f>114237*0.8</f>
        <v>91389.6</v>
      </c>
      <c r="U2" s="3" t="s">
        <v>103</v>
      </c>
      <c r="V2" s="99">
        <f>91900*0.8</f>
        <v>73520</v>
      </c>
      <c r="W2" s="3" t="s">
        <v>104</v>
      </c>
      <c r="X2" s="99">
        <f>64600*0.8</f>
        <v>51680</v>
      </c>
      <c r="Y2" s="3" t="s">
        <v>130</v>
      </c>
      <c r="Z2" s="99">
        <f>141417*0.8</f>
        <v>113133.6</v>
      </c>
      <c r="AA2" s="3" t="s">
        <v>97</v>
      </c>
      <c r="AB2" s="99">
        <f>76313*0.8</f>
        <v>61050.400000000001</v>
      </c>
      <c r="AC2" s="3" t="s">
        <v>98</v>
      </c>
      <c r="AD2" s="99">
        <f>52000*0.8</f>
        <v>41600</v>
      </c>
    </row>
    <row r="3" spans="1:30" ht="17.45" customHeight="1" x14ac:dyDescent="0.25">
      <c r="A3" t="s">
        <v>64</v>
      </c>
      <c r="B3" s="60" t="s">
        <v>91</v>
      </c>
      <c r="C3" s="61" t="s">
        <v>91</v>
      </c>
      <c r="D3" s="57">
        <v>41600</v>
      </c>
      <c r="E3" s="58">
        <v>61050</v>
      </c>
      <c r="F3" s="62"/>
      <c r="G3" s="56">
        <v>91386</v>
      </c>
      <c r="H3" s="56">
        <v>91386</v>
      </c>
      <c r="I3" s="42">
        <v>61050</v>
      </c>
      <c r="J3" s="64"/>
      <c r="K3" s="64"/>
      <c r="L3" s="63">
        <v>41600</v>
      </c>
      <c r="M3" s="63">
        <v>41600</v>
      </c>
      <c r="N3" s="63">
        <v>41600</v>
      </c>
      <c r="O3" s="99">
        <f t="shared" si="0"/>
        <v>368622</v>
      </c>
      <c r="S3" t="s">
        <v>129</v>
      </c>
      <c r="T3" s="153">
        <v>91389.6</v>
      </c>
      <c r="U3" t="s">
        <v>103</v>
      </c>
      <c r="V3">
        <v>73520</v>
      </c>
      <c r="W3" t="s">
        <v>104</v>
      </c>
      <c r="X3">
        <v>51680</v>
      </c>
      <c r="Y3" t="s">
        <v>130</v>
      </c>
      <c r="Z3">
        <v>113133.6</v>
      </c>
      <c r="AA3" t="s">
        <v>97</v>
      </c>
      <c r="AB3">
        <v>61050.400000000001</v>
      </c>
      <c r="AC3" t="s">
        <v>98</v>
      </c>
      <c r="AD3">
        <v>41600</v>
      </c>
    </row>
    <row r="4" spans="1:30" ht="17.45" customHeight="1" x14ac:dyDescent="0.25">
      <c r="A4" t="s">
        <v>51</v>
      </c>
      <c r="B4" s="69">
        <v>61050</v>
      </c>
      <c r="C4" s="61" t="s">
        <v>91</v>
      </c>
      <c r="D4" s="57">
        <v>41600</v>
      </c>
      <c r="E4" s="58">
        <v>61050</v>
      </c>
      <c r="F4" s="71">
        <v>61050</v>
      </c>
      <c r="G4" s="145">
        <v>73520</v>
      </c>
      <c r="H4" s="145">
        <v>73520</v>
      </c>
      <c r="I4" s="145">
        <v>73520</v>
      </c>
      <c r="J4" s="145">
        <v>73520</v>
      </c>
      <c r="K4" s="145">
        <v>73520</v>
      </c>
      <c r="L4" s="26"/>
      <c r="M4" s="26"/>
      <c r="O4" s="99">
        <f t="shared" si="0"/>
        <v>367600</v>
      </c>
    </row>
    <row r="5" spans="1:30" ht="17.45" customHeight="1" x14ac:dyDescent="0.25">
      <c r="A5" t="s">
        <v>45</v>
      </c>
      <c r="B5" s="55">
        <v>113133</v>
      </c>
      <c r="C5" s="56">
        <v>91386</v>
      </c>
      <c r="D5" s="57">
        <v>41600</v>
      </c>
      <c r="E5" s="58">
        <v>61050</v>
      </c>
      <c r="F5" s="59" t="s">
        <v>7</v>
      </c>
      <c r="G5" s="145">
        <v>73520</v>
      </c>
      <c r="H5" s="145">
        <v>73520</v>
      </c>
      <c r="I5" s="142">
        <v>113133</v>
      </c>
      <c r="J5" s="140">
        <v>61050</v>
      </c>
      <c r="K5" s="119"/>
      <c r="L5" s="63">
        <v>41600</v>
      </c>
      <c r="M5" s="26"/>
      <c r="N5" s="26"/>
      <c r="O5" s="99">
        <f t="shared" si="0"/>
        <v>362823</v>
      </c>
    </row>
    <row r="6" spans="1:30" ht="17.45" customHeight="1" x14ac:dyDescent="0.25">
      <c r="A6" t="s">
        <v>61</v>
      </c>
      <c r="B6" s="72">
        <v>91386</v>
      </c>
      <c r="C6" s="67" t="s">
        <v>7</v>
      </c>
      <c r="D6" s="66">
        <v>113133</v>
      </c>
      <c r="E6" s="64">
        <v>0</v>
      </c>
      <c r="F6" s="62">
        <v>0</v>
      </c>
      <c r="G6" s="56">
        <v>91386</v>
      </c>
      <c r="H6" s="47">
        <v>73520</v>
      </c>
      <c r="I6" s="147">
        <v>73520</v>
      </c>
      <c r="J6" s="147">
        <v>73520</v>
      </c>
      <c r="K6" s="150"/>
      <c r="L6" s="72"/>
      <c r="M6" s="26"/>
      <c r="N6" s="26"/>
      <c r="O6" s="99">
        <f t="shared" si="0"/>
        <v>311946</v>
      </c>
    </row>
    <row r="7" spans="1:30" ht="17.45" customHeight="1" x14ac:dyDescent="0.25">
      <c r="A7" t="s">
        <v>52</v>
      </c>
      <c r="B7" s="69">
        <v>61050</v>
      </c>
      <c r="C7" s="57">
        <v>41600</v>
      </c>
      <c r="D7" s="56">
        <v>91386</v>
      </c>
      <c r="E7" s="56">
        <v>91386</v>
      </c>
      <c r="F7" s="71">
        <v>61050</v>
      </c>
      <c r="G7" s="157">
        <v>61050</v>
      </c>
      <c r="H7" s="146">
        <v>61050</v>
      </c>
      <c r="I7" s="105"/>
      <c r="J7" s="105"/>
      <c r="K7" s="105"/>
      <c r="L7" s="72">
        <v>91386</v>
      </c>
      <c r="M7" s="161">
        <v>41600</v>
      </c>
      <c r="O7" s="99">
        <f t="shared" si="0"/>
        <v>255086</v>
      </c>
    </row>
    <row r="8" spans="1:30" ht="17.45" customHeight="1" x14ac:dyDescent="0.25">
      <c r="A8" t="s">
        <v>48</v>
      </c>
      <c r="B8" s="55">
        <v>113133</v>
      </c>
      <c r="C8" s="61" t="s">
        <v>91</v>
      </c>
      <c r="D8" s="65">
        <v>73520</v>
      </c>
      <c r="E8" s="58">
        <v>61050</v>
      </c>
      <c r="F8" s="62">
        <v>0</v>
      </c>
      <c r="G8" s="66">
        <v>113133</v>
      </c>
      <c r="H8" s="64"/>
      <c r="I8" s="105"/>
      <c r="J8" s="105"/>
      <c r="K8" s="105"/>
      <c r="L8" s="55">
        <v>113133</v>
      </c>
      <c r="M8" s="26"/>
      <c r="O8" s="99">
        <f t="shared" si="0"/>
        <v>226266</v>
      </c>
    </row>
    <row r="9" spans="1:30" ht="17.45" customHeight="1" x14ac:dyDescent="0.25">
      <c r="A9" t="s">
        <v>46</v>
      </c>
      <c r="B9" s="55">
        <v>113133</v>
      </c>
      <c r="C9" s="66">
        <v>113133</v>
      </c>
      <c r="D9" s="67" t="s">
        <v>7</v>
      </c>
      <c r="E9" s="56">
        <v>91386</v>
      </c>
      <c r="F9" s="68">
        <v>113133</v>
      </c>
      <c r="G9" s="142">
        <v>113133</v>
      </c>
      <c r="H9" s="142">
        <v>113133</v>
      </c>
      <c r="I9" s="119"/>
      <c r="J9" s="119"/>
      <c r="K9" s="119"/>
      <c r="L9" s="26"/>
      <c r="O9" s="99">
        <f t="shared" si="0"/>
        <v>226266</v>
      </c>
    </row>
    <row r="10" spans="1:30" ht="17.45" customHeight="1" thickBot="1" x14ac:dyDescent="0.3">
      <c r="A10" t="s">
        <v>54</v>
      </c>
      <c r="B10" s="55">
        <v>113133</v>
      </c>
      <c r="C10" s="66">
        <v>113133</v>
      </c>
      <c r="D10" s="58">
        <v>61050</v>
      </c>
      <c r="E10" s="64">
        <v>0</v>
      </c>
      <c r="F10" s="62">
        <v>0</v>
      </c>
      <c r="G10" s="45">
        <v>113133</v>
      </c>
      <c r="H10" s="45">
        <v>113133</v>
      </c>
      <c r="I10" s="105"/>
      <c r="J10" s="105"/>
      <c r="K10" s="105"/>
      <c r="L10" s="26"/>
      <c r="O10" s="99">
        <f t="shared" si="0"/>
        <v>226266</v>
      </c>
    </row>
    <row r="11" spans="1:30" ht="17.45" customHeight="1" thickBot="1" x14ac:dyDescent="0.3">
      <c r="A11" t="s">
        <v>27</v>
      </c>
      <c r="B11" s="74">
        <v>73520</v>
      </c>
      <c r="C11" s="61" t="s">
        <v>91</v>
      </c>
      <c r="D11" s="65">
        <v>73520</v>
      </c>
      <c r="E11" s="61" t="s">
        <v>91</v>
      </c>
      <c r="F11" s="75" t="s">
        <v>91</v>
      </c>
      <c r="G11" s="47">
        <v>73520</v>
      </c>
      <c r="H11" s="147">
        <v>73520</v>
      </c>
      <c r="I11" s="147">
        <v>73520</v>
      </c>
      <c r="J11" s="108"/>
      <c r="K11" s="108"/>
      <c r="L11" s="24"/>
      <c r="M11" s="26"/>
      <c r="O11" s="99">
        <f t="shared" si="0"/>
        <v>220560</v>
      </c>
    </row>
    <row r="12" spans="1:30" ht="17.45" customHeight="1" x14ac:dyDescent="0.25">
      <c r="A12" t="s">
        <v>69</v>
      </c>
      <c r="B12" s="55">
        <v>113133</v>
      </c>
      <c r="C12" s="58">
        <v>61050</v>
      </c>
      <c r="D12" s="64">
        <v>0</v>
      </c>
      <c r="E12" s="64">
        <v>0</v>
      </c>
      <c r="F12" s="62">
        <v>0</v>
      </c>
      <c r="G12" s="143">
        <v>61050</v>
      </c>
      <c r="H12" s="45">
        <v>113133</v>
      </c>
      <c r="I12" s="64"/>
      <c r="J12" s="64"/>
      <c r="K12" s="152"/>
      <c r="L12" s="57">
        <v>41600</v>
      </c>
      <c r="O12" s="99">
        <f t="shared" si="0"/>
        <v>215783</v>
      </c>
    </row>
    <row r="13" spans="1:30" ht="17.45" customHeight="1" x14ac:dyDescent="0.25">
      <c r="A13" t="s">
        <v>23</v>
      </c>
      <c r="B13" s="55">
        <v>113133</v>
      </c>
      <c r="C13" s="58">
        <v>61050</v>
      </c>
      <c r="D13" s="67" t="s">
        <v>7</v>
      </c>
      <c r="E13" s="64">
        <v>0</v>
      </c>
      <c r="F13" s="62">
        <v>0</v>
      </c>
      <c r="G13" s="145">
        <v>73520</v>
      </c>
      <c r="H13" s="142">
        <v>113133</v>
      </c>
      <c r="I13" s="104"/>
      <c r="J13" s="104"/>
      <c r="K13" s="104"/>
      <c r="L13" s="7"/>
      <c r="O13" s="99">
        <f t="shared" si="0"/>
        <v>186653</v>
      </c>
    </row>
    <row r="14" spans="1:30" ht="17.45" customHeight="1" x14ac:dyDescent="0.25">
      <c r="A14" t="s">
        <v>43</v>
      </c>
      <c r="B14" s="69">
        <v>61050</v>
      </c>
      <c r="C14" s="57">
        <v>41600</v>
      </c>
      <c r="D14" s="57">
        <v>41600</v>
      </c>
      <c r="E14" s="57">
        <v>41600</v>
      </c>
      <c r="F14" s="70">
        <v>0</v>
      </c>
      <c r="G14" s="105"/>
      <c r="H14" s="105"/>
      <c r="I14" s="64"/>
      <c r="J14" s="105"/>
      <c r="K14" s="104"/>
      <c r="L14" s="58">
        <v>61050</v>
      </c>
      <c r="M14" s="161">
        <v>41600</v>
      </c>
      <c r="N14" s="161">
        <v>41600</v>
      </c>
      <c r="O14" s="99">
        <f t="shared" si="0"/>
        <v>144250</v>
      </c>
    </row>
    <row r="15" spans="1:30" ht="17.45" customHeight="1" x14ac:dyDescent="0.25">
      <c r="A15" t="s">
        <v>53</v>
      </c>
      <c r="B15" s="69">
        <v>61050</v>
      </c>
      <c r="C15" s="57">
        <v>41600</v>
      </c>
      <c r="D15" s="57">
        <v>41600</v>
      </c>
      <c r="E15" s="56">
        <v>91386</v>
      </c>
      <c r="F15" s="68">
        <v>113133</v>
      </c>
      <c r="G15" s="156">
        <v>91386</v>
      </c>
      <c r="H15" s="119"/>
      <c r="I15" s="119"/>
      <c r="J15" s="119"/>
      <c r="K15" s="119"/>
      <c r="L15" s="63">
        <v>41600</v>
      </c>
      <c r="O15" s="99">
        <f t="shared" si="0"/>
        <v>132986</v>
      </c>
    </row>
    <row r="16" spans="1:30" ht="17.45" customHeight="1" x14ac:dyDescent="0.25">
      <c r="A16" t="s">
        <v>58</v>
      </c>
      <c r="B16" s="72">
        <v>91386</v>
      </c>
      <c r="C16" s="66">
        <v>113133</v>
      </c>
      <c r="D16" s="67" t="s">
        <v>7</v>
      </c>
      <c r="E16" s="64">
        <v>0</v>
      </c>
      <c r="F16" s="62">
        <v>0</v>
      </c>
      <c r="G16" s="139"/>
      <c r="H16" s="139"/>
      <c r="I16" s="139"/>
      <c r="J16" s="139"/>
      <c r="K16" s="159"/>
      <c r="L16" s="63">
        <v>41600</v>
      </c>
      <c r="M16" s="161">
        <v>41600</v>
      </c>
      <c r="N16" s="161">
        <v>41600</v>
      </c>
      <c r="O16" s="99">
        <f t="shared" si="0"/>
        <v>124800</v>
      </c>
    </row>
    <row r="17" spans="1:15" ht="17.45" customHeight="1" x14ac:dyDescent="0.25">
      <c r="A17" t="s">
        <v>47</v>
      </c>
      <c r="B17" s="69">
        <v>61050</v>
      </c>
      <c r="C17" s="56">
        <v>91386</v>
      </c>
      <c r="D17" s="64">
        <v>0</v>
      </c>
      <c r="E17" s="64">
        <v>0</v>
      </c>
      <c r="F17" s="62">
        <v>0</v>
      </c>
      <c r="G17" s="64"/>
      <c r="H17" s="64"/>
      <c r="I17" s="64"/>
      <c r="J17" s="64"/>
      <c r="K17" s="64"/>
      <c r="L17" s="69">
        <v>61050</v>
      </c>
      <c r="M17" s="161">
        <v>41600</v>
      </c>
      <c r="O17" s="99">
        <f t="shared" si="0"/>
        <v>102650</v>
      </c>
    </row>
    <row r="18" spans="1:15" ht="17.45" customHeight="1" x14ac:dyDescent="0.25">
      <c r="A18" t="s">
        <v>49</v>
      </c>
      <c r="B18" s="72">
        <v>91386</v>
      </c>
      <c r="C18" s="64">
        <v>0</v>
      </c>
      <c r="D18" s="64">
        <v>0</v>
      </c>
      <c r="E18" s="64">
        <v>0</v>
      </c>
      <c r="F18" s="62">
        <v>0</v>
      </c>
      <c r="G18" s="42">
        <v>61050</v>
      </c>
      <c r="H18" s="13"/>
      <c r="I18" s="150"/>
      <c r="J18" s="150"/>
      <c r="K18" s="150"/>
      <c r="L18" s="63">
        <v>41600</v>
      </c>
      <c r="O18" s="99">
        <f t="shared" si="0"/>
        <v>102650</v>
      </c>
    </row>
    <row r="19" spans="1:15" ht="17.45" customHeight="1" thickBot="1" x14ac:dyDescent="0.3">
      <c r="A19" t="s">
        <v>60</v>
      </c>
      <c r="B19" s="63">
        <v>41600</v>
      </c>
      <c r="C19" s="56">
        <v>91386</v>
      </c>
      <c r="D19" s="64">
        <v>0</v>
      </c>
      <c r="E19" s="64">
        <v>0</v>
      </c>
      <c r="F19" s="62">
        <v>0</v>
      </c>
      <c r="G19" s="104"/>
      <c r="H19" s="104"/>
      <c r="I19" s="104"/>
      <c r="J19" s="104"/>
      <c r="K19" s="104"/>
      <c r="L19" s="63">
        <v>41600</v>
      </c>
      <c r="M19" s="161">
        <v>41600</v>
      </c>
      <c r="O19" s="99">
        <f t="shared" si="0"/>
        <v>83200</v>
      </c>
    </row>
    <row r="20" spans="1:15" ht="17.45" customHeight="1" x14ac:dyDescent="0.25">
      <c r="A20" t="s">
        <v>94</v>
      </c>
      <c r="B20" s="134">
        <v>91386</v>
      </c>
      <c r="C20" s="96"/>
      <c r="D20" s="96"/>
      <c r="E20" s="96"/>
      <c r="F20" s="97"/>
      <c r="G20" s="143">
        <v>61050</v>
      </c>
      <c r="H20" s="108"/>
      <c r="I20" s="108"/>
      <c r="J20" s="108"/>
      <c r="K20" s="108"/>
      <c r="L20" s="26"/>
      <c r="O20" s="99">
        <f t="shared" si="0"/>
        <v>61050</v>
      </c>
    </row>
    <row r="21" spans="1:15" ht="17.45" customHeight="1" x14ac:dyDescent="0.25">
      <c r="A21" t="s">
        <v>65</v>
      </c>
      <c r="B21" s="69">
        <v>61050</v>
      </c>
      <c r="C21" s="61" t="s">
        <v>91</v>
      </c>
      <c r="D21" s="64">
        <v>0</v>
      </c>
      <c r="E21" s="64">
        <v>0</v>
      </c>
      <c r="F21" s="62">
        <v>0</v>
      </c>
      <c r="G21" s="104"/>
      <c r="H21" s="104"/>
      <c r="I21" s="104"/>
      <c r="J21" s="104"/>
      <c r="K21" s="104"/>
      <c r="L21" s="63">
        <v>41600</v>
      </c>
      <c r="O21" s="99">
        <f t="shared" si="0"/>
        <v>41600</v>
      </c>
    </row>
    <row r="22" spans="1:15" ht="17.45" customHeight="1" x14ac:dyDescent="0.25">
      <c r="A22" t="s">
        <v>63</v>
      </c>
      <c r="B22" s="73" t="s">
        <v>7</v>
      </c>
      <c r="C22" s="56">
        <v>91386</v>
      </c>
      <c r="D22" s="64">
        <v>0</v>
      </c>
      <c r="E22" s="64">
        <v>0</v>
      </c>
      <c r="F22" s="62">
        <v>0</v>
      </c>
      <c r="G22" s="104"/>
      <c r="H22" s="104"/>
      <c r="I22" s="104"/>
      <c r="J22" s="104"/>
      <c r="K22" s="104"/>
      <c r="L22" s="63">
        <v>41600</v>
      </c>
      <c r="O22" s="99">
        <f t="shared" si="0"/>
        <v>41600</v>
      </c>
    </row>
    <row r="23" spans="1:15" ht="17.45" customHeight="1" x14ac:dyDescent="0.25">
      <c r="A23" t="s">
        <v>66</v>
      </c>
      <c r="B23" s="58">
        <v>61050</v>
      </c>
      <c r="C23" s="56">
        <v>91386</v>
      </c>
      <c r="D23" s="58">
        <v>61050</v>
      </c>
      <c r="E23" s="58">
        <v>61050</v>
      </c>
      <c r="F23" s="71">
        <v>61050</v>
      </c>
      <c r="G23" s="96"/>
      <c r="H23" s="108"/>
      <c r="I23" s="108"/>
      <c r="J23" s="108"/>
      <c r="K23" s="108"/>
      <c r="L23" s="161">
        <v>41600</v>
      </c>
      <c r="O23" s="99">
        <f t="shared" si="0"/>
        <v>41600</v>
      </c>
    </row>
    <row r="24" spans="1:15" ht="17.45" customHeight="1" x14ac:dyDescent="0.25">
      <c r="A24" t="s">
        <v>11</v>
      </c>
      <c r="B24" s="69">
        <v>61050</v>
      </c>
      <c r="C24" s="64">
        <v>0</v>
      </c>
      <c r="D24" s="64">
        <v>0</v>
      </c>
      <c r="E24" s="64">
        <v>0</v>
      </c>
      <c r="F24" s="62">
        <v>0</v>
      </c>
      <c r="G24" s="64"/>
      <c r="H24" s="64"/>
      <c r="I24" s="64"/>
      <c r="J24" s="105"/>
      <c r="K24" s="105"/>
      <c r="L24" s="161">
        <v>41600</v>
      </c>
      <c r="O24" s="99">
        <f t="shared" si="0"/>
        <v>41600</v>
      </c>
    </row>
    <row r="25" spans="1:15" ht="17.45" customHeight="1" x14ac:dyDescent="0.25">
      <c r="A25" t="s">
        <v>8</v>
      </c>
      <c r="B25" s="69">
        <v>61050</v>
      </c>
      <c r="C25" s="56">
        <v>91386</v>
      </c>
      <c r="D25" s="56">
        <v>91386</v>
      </c>
      <c r="E25" s="67" t="s">
        <v>7</v>
      </c>
      <c r="F25" s="76">
        <v>0</v>
      </c>
      <c r="G25" s="109"/>
      <c r="H25" s="109"/>
      <c r="I25" s="109"/>
      <c r="J25" s="109"/>
      <c r="K25" s="109"/>
      <c r="L25" s="161">
        <v>41600</v>
      </c>
      <c r="O25" s="99">
        <f t="shared" si="0"/>
        <v>41600</v>
      </c>
    </row>
    <row r="26" spans="1:15" ht="17.45" customHeight="1" x14ac:dyDescent="0.25">
      <c r="A26" t="s">
        <v>44</v>
      </c>
      <c r="B26" s="63">
        <v>41600</v>
      </c>
      <c r="C26" s="66">
        <v>113133</v>
      </c>
      <c r="D26" s="56">
        <v>91386</v>
      </c>
      <c r="E26" s="64">
        <v>0</v>
      </c>
      <c r="F26" s="62">
        <v>0</v>
      </c>
      <c r="G26" s="104"/>
      <c r="H26" s="104"/>
      <c r="I26" s="104"/>
      <c r="J26" s="104"/>
      <c r="K26" s="104"/>
      <c r="L26" s="161">
        <v>41600</v>
      </c>
      <c r="O26" s="99">
        <f t="shared" si="0"/>
        <v>41600</v>
      </c>
    </row>
    <row r="27" spans="1:15" ht="17.45" customHeight="1" x14ac:dyDescent="0.25">
      <c r="A27" t="s">
        <v>57</v>
      </c>
      <c r="B27" s="63">
        <v>41600</v>
      </c>
      <c r="C27" s="57">
        <v>41600</v>
      </c>
      <c r="D27" s="66">
        <v>113133</v>
      </c>
      <c r="E27" s="64">
        <v>0</v>
      </c>
      <c r="F27" s="62">
        <v>0</v>
      </c>
      <c r="G27" s="64"/>
      <c r="H27" s="64"/>
      <c r="I27" s="105"/>
      <c r="J27" s="105"/>
      <c r="K27" s="105"/>
      <c r="L27" s="161">
        <v>41600</v>
      </c>
      <c r="O27" s="99">
        <f t="shared" si="0"/>
        <v>41600</v>
      </c>
    </row>
    <row r="28" spans="1:15" ht="17.45" customHeight="1" x14ac:dyDescent="0.25">
      <c r="A28" t="s">
        <v>56</v>
      </c>
      <c r="B28" s="72">
        <v>91386</v>
      </c>
      <c r="C28" s="66">
        <v>113133</v>
      </c>
      <c r="D28" s="58">
        <v>61050</v>
      </c>
      <c r="E28" s="57">
        <v>41600</v>
      </c>
      <c r="F28" s="59" t="s">
        <v>7</v>
      </c>
      <c r="G28" s="119"/>
      <c r="H28" s="119"/>
      <c r="I28" s="119"/>
      <c r="J28" s="119"/>
      <c r="K28" s="119"/>
      <c r="L28" s="161">
        <v>41600</v>
      </c>
      <c r="O28" s="99">
        <f t="shared" si="0"/>
        <v>41600</v>
      </c>
    </row>
    <row r="29" spans="1:15" ht="17.45" customHeight="1" x14ac:dyDescent="0.25">
      <c r="A29" t="s">
        <v>62</v>
      </c>
      <c r="B29" s="72">
        <v>91386</v>
      </c>
      <c r="C29" s="64">
        <v>0</v>
      </c>
      <c r="D29" s="64">
        <v>0</v>
      </c>
      <c r="E29" s="64">
        <v>0</v>
      </c>
      <c r="F29" s="62">
        <v>0</v>
      </c>
      <c r="G29" s="138"/>
      <c r="H29" s="138"/>
      <c r="I29" s="138"/>
      <c r="J29" s="138"/>
      <c r="K29" s="138"/>
      <c r="O29" s="99">
        <f t="shared" si="0"/>
        <v>0</v>
      </c>
    </row>
    <row r="30" spans="1:15" ht="17.45" customHeight="1" x14ac:dyDescent="0.25">
      <c r="A30" t="s">
        <v>59</v>
      </c>
      <c r="B30" s="77">
        <v>0</v>
      </c>
      <c r="C30" s="64">
        <v>0</v>
      </c>
      <c r="D30" s="64">
        <v>0</v>
      </c>
      <c r="E30" s="64">
        <v>0</v>
      </c>
      <c r="F30" s="62">
        <v>0</v>
      </c>
      <c r="G30" s="105"/>
      <c r="H30" s="105"/>
      <c r="I30" s="105"/>
      <c r="J30" s="105"/>
      <c r="K30" s="105"/>
      <c r="O30" s="99">
        <f t="shared" si="0"/>
        <v>0</v>
      </c>
    </row>
    <row r="31" spans="1:15" ht="17.45" customHeight="1" thickBot="1" x14ac:dyDescent="0.3">
      <c r="A31" t="s">
        <v>10</v>
      </c>
      <c r="B31" s="78">
        <v>0</v>
      </c>
      <c r="C31" s="79">
        <v>0</v>
      </c>
      <c r="D31" s="79">
        <v>0</v>
      </c>
      <c r="E31" s="79">
        <v>0</v>
      </c>
      <c r="F31" s="80">
        <v>0</v>
      </c>
      <c r="G31" s="110"/>
      <c r="H31" s="110"/>
      <c r="I31" s="110"/>
      <c r="J31" s="110"/>
      <c r="K31" s="110"/>
      <c r="O31" s="99">
        <f t="shared" si="0"/>
        <v>0</v>
      </c>
    </row>
  </sheetData>
  <sortState ref="A1:O31">
    <sortCondition descending="1" ref="O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"/>
  <sheetViews>
    <sheetView topLeftCell="G1" workbookViewId="0">
      <selection activeCell="H17" sqref="H17"/>
    </sheetView>
  </sheetViews>
  <sheetFormatPr defaultRowHeight="15" x14ac:dyDescent="0.25"/>
  <cols>
    <col min="1" max="1" width="23.140625" customWidth="1"/>
    <col min="2" max="6" width="25.5703125" hidden="1" customWidth="1"/>
    <col min="7" max="11" width="25.5703125" customWidth="1"/>
    <col min="12" max="21" width="20.28515625" hidden="1" customWidth="1"/>
    <col min="22" max="22" width="20.28515625" customWidth="1"/>
  </cols>
  <sheetData>
    <row r="1" spans="1:22" ht="15.75" thickBot="1" x14ac:dyDescent="0.3">
      <c r="A1" s="4"/>
      <c r="B1" s="30" t="s">
        <v>84</v>
      </c>
      <c r="C1" s="31"/>
      <c r="D1" s="31"/>
      <c r="E1" s="31"/>
      <c r="F1" s="32"/>
      <c r="G1" s="247" t="s">
        <v>121</v>
      </c>
      <c r="H1" s="248"/>
      <c r="I1" s="248"/>
      <c r="J1" s="249"/>
      <c r="K1" s="101"/>
      <c r="L1" s="30" t="s">
        <v>73</v>
      </c>
      <c r="M1" s="31"/>
      <c r="N1" s="31"/>
      <c r="O1" s="31"/>
      <c r="P1" s="31"/>
      <c r="Q1" s="31"/>
      <c r="R1" s="31"/>
      <c r="S1" s="31"/>
      <c r="T1" s="31"/>
      <c r="U1" s="32"/>
      <c r="V1" s="122"/>
    </row>
    <row r="2" spans="1:22" ht="15.75" thickBot="1" x14ac:dyDescent="0.3">
      <c r="A2" s="29" t="s">
        <v>70</v>
      </c>
      <c r="B2" s="81">
        <v>1</v>
      </c>
      <c r="C2" s="82">
        <v>2</v>
      </c>
      <c r="D2" s="82">
        <v>3</v>
      </c>
      <c r="E2" s="82">
        <v>4</v>
      </c>
      <c r="F2" s="83">
        <v>5</v>
      </c>
      <c r="G2" s="102"/>
      <c r="H2" s="102"/>
      <c r="I2" s="102"/>
      <c r="J2" s="102"/>
      <c r="K2" s="102"/>
      <c r="L2" s="18" t="s">
        <v>74</v>
      </c>
      <c r="M2" s="33" t="s">
        <v>75</v>
      </c>
      <c r="N2" s="33" t="s">
        <v>76</v>
      </c>
      <c r="O2" s="33" t="s">
        <v>77</v>
      </c>
      <c r="P2" s="33" t="s">
        <v>78</v>
      </c>
      <c r="Q2" s="33" t="s">
        <v>79</v>
      </c>
      <c r="R2" s="33" t="s">
        <v>80</v>
      </c>
      <c r="S2" s="33" t="s">
        <v>81</v>
      </c>
      <c r="T2" s="33" t="s">
        <v>82</v>
      </c>
      <c r="U2" s="19" t="s">
        <v>83</v>
      </c>
      <c r="V2" s="123" t="s">
        <v>122</v>
      </c>
    </row>
    <row r="3" spans="1:22" x14ac:dyDescent="0.25">
      <c r="A3" s="20" t="s">
        <v>50</v>
      </c>
      <c r="B3" s="50" t="s">
        <v>4</v>
      </c>
      <c r="C3" s="51" t="s">
        <v>89</v>
      </c>
      <c r="D3" s="52" t="s">
        <v>90</v>
      </c>
      <c r="E3" s="53">
        <v>0</v>
      </c>
      <c r="F3" s="54">
        <v>0</v>
      </c>
      <c r="G3" s="50" t="s">
        <v>4</v>
      </c>
      <c r="H3" s="50" t="s">
        <v>4</v>
      </c>
      <c r="I3" s="42" t="s">
        <v>89</v>
      </c>
      <c r="J3" s="103"/>
      <c r="K3" s="103"/>
      <c r="L3" s="50" t="s">
        <v>4</v>
      </c>
      <c r="M3" s="69" t="s">
        <v>89</v>
      </c>
      <c r="N3" s="50" t="s">
        <v>4</v>
      </c>
      <c r="O3" s="50" t="s">
        <v>4</v>
      </c>
      <c r="P3" s="52" t="s">
        <v>90</v>
      </c>
      <c r="Q3" s="52" t="s">
        <v>90</v>
      </c>
      <c r="R3" s="34"/>
      <c r="S3" s="34"/>
      <c r="T3" s="34"/>
      <c r="U3" s="35"/>
      <c r="V3" s="125">
        <v>249635.86086956525</v>
      </c>
    </row>
    <row r="4" spans="1:22" x14ac:dyDescent="0.25">
      <c r="A4" s="21" t="s">
        <v>45</v>
      </c>
      <c r="B4" s="55" t="s">
        <v>1</v>
      </c>
      <c r="C4" s="56" t="s">
        <v>4</v>
      </c>
      <c r="D4" s="57" t="s">
        <v>90</v>
      </c>
      <c r="E4" s="58" t="s">
        <v>89</v>
      </c>
      <c r="F4" s="59" t="s">
        <v>7</v>
      </c>
      <c r="G4" s="47" t="s">
        <v>42</v>
      </c>
      <c r="H4" s="47" t="s">
        <v>42</v>
      </c>
      <c r="I4" s="42" t="s">
        <v>89</v>
      </c>
      <c r="J4" s="45" t="s">
        <v>1</v>
      </c>
      <c r="K4" s="45"/>
      <c r="L4" s="74" t="s">
        <v>42</v>
      </c>
      <c r="M4" s="74" t="s">
        <v>42</v>
      </c>
      <c r="N4" s="69" t="s">
        <v>89</v>
      </c>
      <c r="O4" s="74" t="s">
        <v>42</v>
      </c>
      <c r="P4" s="55" t="s">
        <v>1</v>
      </c>
      <c r="Q4" s="55" t="s">
        <v>1</v>
      </c>
      <c r="U4" s="38"/>
      <c r="V4" s="125">
        <v>97777.078260869603</v>
      </c>
    </row>
    <row r="5" spans="1:22" x14ac:dyDescent="0.25">
      <c r="A5" s="21" t="s">
        <v>64</v>
      </c>
      <c r="B5" s="60" t="s">
        <v>91</v>
      </c>
      <c r="C5" s="61" t="s">
        <v>91</v>
      </c>
      <c r="D5" s="57" t="s">
        <v>90</v>
      </c>
      <c r="E5" s="58" t="s">
        <v>89</v>
      </c>
      <c r="F5" s="62"/>
      <c r="G5" s="104"/>
      <c r="H5" s="104"/>
      <c r="I5" s="104"/>
      <c r="J5" s="104"/>
      <c r="K5" s="104"/>
      <c r="L5" s="57" t="s">
        <v>90</v>
      </c>
      <c r="M5" s="57" t="s">
        <v>90</v>
      </c>
      <c r="N5" s="57" t="s">
        <v>90</v>
      </c>
      <c r="O5" s="37"/>
      <c r="P5" s="37"/>
      <c r="Q5" s="37"/>
      <c r="R5" s="37"/>
      <c r="S5" s="37"/>
      <c r="T5" s="37"/>
      <c r="U5" s="38"/>
      <c r="V5" s="125">
        <v>283409.21739130438</v>
      </c>
    </row>
    <row r="6" spans="1:22" x14ac:dyDescent="0.25">
      <c r="A6" s="21" t="s">
        <v>60</v>
      </c>
      <c r="B6" s="63" t="s">
        <v>90</v>
      </c>
      <c r="C6" s="56" t="s">
        <v>4</v>
      </c>
      <c r="D6" s="64">
        <v>0</v>
      </c>
      <c r="E6" s="64">
        <v>0</v>
      </c>
      <c r="F6" s="62">
        <v>0</v>
      </c>
      <c r="G6" s="104"/>
      <c r="H6" s="104"/>
      <c r="I6" s="104"/>
      <c r="J6" s="104"/>
      <c r="K6" s="104"/>
      <c r="L6" s="57" t="s">
        <v>90</v>
      </c>
      <c r="M6" s="57" t="s">
        <v>90</v>
      </c>
      <c r="N6" s="57" t="s">
        <v>90</v>
      </c>
      <c r="O6" s="37"/>
      <c r="P6" s="37"/>
      <c r="Q6" s="37"/>
      <c r="R6" s="37"/>
      <c r="S6" s="37"/>
      <c r="T6" s="37"/>
      <c r="U6" s="38"/>
      <c r="V6" s="125">
        <v>242287.09565217391</v>
      </c>
    </row>
    <row r="7" spans="1:22" x14ac:dyDescent="0.25">
      <c r="A7" s="21" t="s">
        <v>69</v>
      </c>
      <c r="B7" s="55" t="s">
        <v>1</v>
      </c>
      <c r="C7" s="58" t="s">
        <v>89</v>
      </c>
      <c r="D7" s="64">
        <v>0</v>
      </c>
      <c r="E7" s="64">
        <v>0</v>
      </c>
      <c r="F7" s="62">
        <v>0</v>
      </c>
      <c r="G7" s="42" t="s">
        <v>89</v>
      </c>
      <c r="H7" s="45" t="s">
        <v>1</v>
      </c>
      <c r="I7" s="105"/>
      <c r="J7" s="105"/>
      <c r="K7" s="105"/>
      <c r="L7" s="69" t="s">
        <v>89</v>
      </c>
      <c r="M7" s="55" t="s">
        <v>1</v>
      </c>
      <c r="N7" s="37"/>
      <c r="O7" s="37"/>
      <c r="P7" s="37"/>
      <c r="Q7" s="37"/>
      <c r="R7" s="37"/>
      <c r="S7" s="37"/>
      <c r="T7" s="37"/>
      <c r="U7" s="38"/>
      <c r="V7" s="125">
        <v>50320.5565217392</v>
      </c>
    </row>
    <row r="8" spans="1:22" x14ac:dyDescent="0.25">
      <c r="A8" s="21" t="s">
        <v>48</v>
      </c>
      <c r="B8" s="55" t="s">
        <v>1</v>
      </c>
      <c r="C8" s="61" t="s">
        <v>91</v>
      </c>
      <c r="D8" s="65" t="s">
        <v>42</v>
      </c>
      <c r="E8" s="58" t="s">
        <v>89</v>
      </c>
      <c r="F8" s="62">
        <v>0</v>
      </c>
      <c r="G8" s="55" t="s">
        <v>1</v>
      </c>
      <c r="H8" s="105"/>
      <c r="I8" s="105"/>
      <c r="J8" s="105"/>
      <c r="K8" s="105"/>
      <c r="L8" s="55" t="s">
        <v>1</v>
      </c>
      <c r="M8" s="37"/>
      <c r="N8" s="37"/>
      <c r="O8" s="37"/>
      <c r="P8" s="37"/>
      <c r="Q8" s="37"/>
      <c r="R8" s="37"/>
      <c r="S8" s="37"/>
      <c r="T8" s="37"/>
      <c r="U8" s="38"/>
      <c r="V8" s="125">
        <v>94699.826086956542</v>
      </c>
    </row>
    <row r="9" spans="1:22" x14ac:dyDescent="0.25">
      <c r="A9" s="21" t="s">
        <v>46</v>
      </c>
      <c r="B9" s="55" t="s">
        <v>1</v>
      </c>
      <c r="C9" s="66" t="s">
        <v>1</v>
      </c>
      <c r="D9" s="67" t="s">
        <v>7</v>
      </c>
      <c r="E9" s="56" t="s">
        <v>4</v>
      </c>
      <c r="F9" s="68" t="s">
        <v>1</v>
      </c>
      <c r="G9" s="45" t="s">
        <v>1</v>
      </c>
      <c r="H9" s="45" t="s">
        <v>1</v>
      </c>
      <c r="I9" s="108"/>
      <c r="J9" s="108"/>
      <c r="K9" s="108"/>
      <c r="L9" s="55" t="s">
        <v>1</v>
      </c>
      <c r="M9" s="66" t="s">
        <v>1</v>
      </c>
      <c r="N9" s="37"/>
      <c r="O9" s="37"/>
      <c r="P9" s="37"/>
      <c r="Q9" s="37"/>
      <c r="R9" s="37"/>
      <c r="S9" s="37"/>
      <c r="T9" s="37"/>
      <c r="U9" s="38"/>
      <c r="V9" s="125">
        <v>0</v>
      </c>
    </row>
    <row r="10" spans="1:22" x14ac:dyDescent="0.25">
      <c r="A10" s="22" t="s">
        <v>43</v>
      </c>
      <c r="B10" s="69" t="s">
        <v>89</v>
      </c>
      <c r="C10" s="57" t="s">
        <v>90</v>
      </c>
      <c r="D10" s="57" t="s">
        <v>90</v>
      </c>
      <c r="E10" s="57" t="s">
        <v>90</v>
      </c>
      <c r="F10" s="70">
        <v>0</v>
      </c>
      <c r="G10" s="106"/>
      <c r="H10" s="106"/>
      <c r="I10" s="106"/>
      <c r="J10" s="106"/>
      <c r="K10" s="106"/>
      <c r="L10" s="57" t="s">
        <v>90</v>
      </c>
      <c r="M10" s="57" t="s">
        <v>90</v>
      </c>
      <c r="N10" s="57" t="s">
        <v>90</v>
      </c>
      <c r="O10" s="37"/>
      <c r="P10" s="37"/>
      <c r="Q10" s="37"/>
      <c r="R10" s="37"/>
      <c r="S10" s="37"/>
      <c r="T10" s="37"/>
      <c r="U10" s="38"/>
      <c r="V10" s="125">
        <v>205610.60869565216</v>
      </c>
    </row>
    <row r="11" spans="1:22" x14ac:dyDescent="0.25">
      <c r="A11" s="21" t="s">
        <v>54</v>
      </c>
      <c r="B11" s="55" t="s">
        <v>1</v>
      </c>
      <c r="C11" s="66" t="s">
        <v>1</v>
      </c>
      <c r="D11" s="58" t="s">
        <v>89</v>
      </c>
      <c r="E11" s="64">
        <v>0</v>
      </c>
      <c r="F11" s="62">
        <v>0</v>
      </c>
      <c r="G11" s="45" t="s">
        <v>1</v>
      </c>
      <c r="H11" s="45" t="s">
        <v>1</v>
      </c>
      <c r="I11" s="105"/>
      <c r="J11" s="105"/>
      <c r="K11" s="105"/>
      <c r="L11" s="55" t="s">
        <v>1</v>
      </c>
      <c r="M11" s="66" t="s">
        <v>1</v>
      </c>
      <c r="N11" s="37"/>
      <c r="O11" s="37"/>
      <c r="P11" s="37"/>
      <c r="Q11" s="37"/>
      <c r="R11" s="37"/>
      <c r="S11" s="37"/>
      <c r="T11" s="37"/>
      <c r="U11" s="38"/>
      <c r="V11" s="125">
        <v>0</v>
      </c>
    </row>
    <row r="12" spans="1:22" ht="15.75" thickBot="1" x14ac:dyDescent="0.3">
      <c r="A12" s="21" t="s">
        <v>66</v>
      </c>
      <c r="B12" s="69" t="s">
        <v>89</v>
      </c>
      <c r="C12" s="56" t="s">
        <v>4</v>
      </c>
      <c r="D12" s="58" t="s">
        <v>89</v>
      </c>
      <c r="E12" s="58" t="s">
        <v>89</v>
      </c>
      <c r="F12" s="71" t="s">
        <v>89</v>
      </c>
      <c r="G12" s="42" t="s">
        <v>89</v>
      </c>
      <c r="H12" s="108"/>
      <c r="I12" s="108"/>
      <c r="J12" s="108"/>
      <c r="K12" s="108"/>
      <c r="L12" s="69" t="s">
        <v>89</v>
      </c>
      <c r="M12" s="57" t="s">
        <v>90</v>
      </c>
      <c r="N12" s="57" t="s">
        <v>90</v>
      </c>
      <c r="O12" s="37"/>
      <c r="P12" s="37"/>
      <c r="Q12" s="37"/>
      <c r="R12" s="37"/>
      <c r="S12" s="37"/>
      <c r="T12" s="37"/>
      <c r="U12" s="38"/>
      <c r="V12" s="125">
        <v>102326.67826086958</v>
      </c>
    </row>
    <row r="13" spans="1:22" x14ac:dyDescent="0.25">
      <c r="A13" s="21" t="s">
        <v>58</v>
      </c>
      <c r="B13" s="72" t="s">
        <v>4</v>
      </c>
      <c r="C13" s="66" t="s">
        <v>1</v>
      </c>
      <c r="D13" s="67" t="s">
        <v>7</v>
      </c>
      <c r="E13" s="64">
        <v>0</v>
      </c>
      <c r="F13" s="62">
        <v>0</v>
      </c>
      <c r="G13" s="50" t="s">
        <v>4</v>
      </c>
      <c r="H13" s="47" t="s">
        <v>42</v>
      </c>
      <c r="I13" s="47" t="s">
        <v>42</v>
      </c>
      <c r="J13" s="47" t="s">
        <v>42</v>
      </c>
      <c r="K13" s="121"/>
      <c r="L13" s="72" t="s">
        <v>4</v>
      </c>
      <c r="M13" s="74" t="s">
        <v>42</v>
      </c>
      <c r="N13" s="74" t="s">
        <v>42</v>
      </c>
      <c r="O13" s="74" t="s">
        <v>42</v>
      </c>
      <c r="R13" s="37"/>
      <c r="S13" s="37"/>
      <c r="T13" s="37"/>
      <c r="U13" s="38"/>
      <c r="V13" s="125">
        <v>161154.26086956525</v>
      </c>
    </row>
    <row r="14" spans="1:22" x14ac:dyDescent="0.25">
      <c r="A14" s="21" t="s">
        <v>61</v>
      </c>
      <c r="B14" s="72" t="s">
        <v>4</v>
      </c>
      <c r="C14" s="67" t="s">
        <v>7</v>
      </c>
      <c r="D14" s="66" t="s">
        <v>1</v>
      </c>
      <c r="E14" s="64">
        <v>0</v>
      </c>
      <c r="F14" s="62">
        <v>0</v>
      </c>
      <c r="G14" s="104"/>
      <c r="H14" s="104"/>
      <c r="I14" s="104"/>
      <c r="J14" s="104"/>
      <c r="K14" s="104"/>
      <c r="L14" s="57" t="s">
        <v>90</v>
      </c>
      <c r="M14" s="57" t="s">
        <v>90</v>
      </c>
      <c r="N14" s="37"/>
      <c r="O14" s="37"/>
      <c r="P14" s="37"/>
      <c r="Q14" s="37"/>
      <c r="R14" s="37"/>
      <c r="S14" s="37"/>
      <c r="T14" s="37"/>
      <c r="U14" s="38"/>
      <c r="V14" s="125">
        <v>160042.85217391307</v>
      </c>
    </row>
    <row r="15" spans="1:22" x14ac:dyDescent="0.25">
      <c r="A15" s="21" t="s">
        <v>47</v>
      </c>
      <c r="B15" s="69" t="s">
        <v>89</v>
      </c>
      <c r="C15" s="56" t="s">
        <v>4</v>
      </c>
      <c r="D15" s="64">
        <v>0</v>
      </c>
      <c r="E15" s="64">
        <v>0</v>
      </c>
      <c r="F15" s="62">
        <v>0</v>
      </c>
      <c r="G15" s="104"/>
      <c r="H15" s="104"/>
      <c r="I15" s="104"/>
      <c r="J15" s="104"/>
      <c r="K15" s="104"/>
      <c r="L15" s="57" t="s">
        <v>90</v>
      </c>
      <c r="M15" s="57" t="s">
        <v>90</v>
      </c>
      <c r="N15" s="37"/>
      <c r="O15" s="37"/>
      <c r="P15" s="37"/>
      <c r="Q15" s="37"/>
      <c r="R15" s="37"/>
      <c r="S15" s="37"/>
      <c r="T15" s="37"/>
      <c r="U15" s="38"/>
      <c r="V15" s="125">
        <v>153374.40000000005</v>
      </c>
    </row>
    <row r="16" spans="1:22" x14ac:dyDescent="0.25">
      <c r="A16" s="21" t="s">
        <v>65</v>
      </c>
      <c r="B16" s="69" t="s">
        <v>89</v>
      </c>
      <c r="C16" s="61" t="s">
        <v>91</v>
      </c>
      <c r="D16" s="64">
        <v>0</v>
      </c>
      <c r="E16" s="64">
        <v>0</v>
      </c>
      <c r="F16" s="62">
        <v>0</v>
      </c>
      <c r="G16" s="104"/>
      <c r="H16" s="104"/>
      <c r="I16" s="104"/>
      <c r="J16" s="104"/>
      <c r="K16" s="104"/>
      <c r="L16" s="57" t="s">
        <v>90</v>
      </c>
      <c r="M16" s="57" t="s">
        <v>90</v>
      </c>
      <c r="N16" s="37"/>
      <c r="O16" s="37"/>
      <c r="P16" s="37"/>
      <c r="Q16" s="37"/>
      <c r="R16" s="37"/>
      <c r="S16" s="37"/>
      <c r="T16" s="37"/>
      <c r="U16" s="38"/>
      <c r="V16" s="125">
        <v>152262.99130434784</v>
      </c>
    </row>
    <row r="17" spans="1:22" x14ac:dyDescent="0.25">
      <c r="A17" s="21" t="s">
        <v>49</v>
      </c>
      <c r="B17" s="72" t="s">
        <v>4</v>
      </c>
      <c r="C17" s="64">
        <v>0</v>
      </c>
      <c r="D17" s="64">
        <v>0</v>
      </c>
      <c r="E17" s="64">
        <v>0</v>
      </c>
      <c r="F17" s="62">
        <v>0</v>
      </c>
      <c r="G17" s="42" t="s">
        <v>89</v>
      </c>
      <c r="H17" s="13"/>
      <c r="I17" s="13"/>
      <c r="J17" s="13"/>
      <c r="K17" s="121"/>
      <c r="L17" s="69" t="s">
        <v>89</v>
      </c>
      <c r="M17" s="57" t="s">
        <v>90</v>
      </c>
      <c r="N17" s="37"/>
      <c r="O17" s="37"/>
      <c r="P17" s="37"/>
      <c r="Q17" s="37"/>
      <c r="R17" s="37"/>
      <c r="S17" s="37"/>
      <c r="T17" s="37"/>
      <c r="U17" s="38"/>
      <c r="V17" s="125">
        <v>86766.956521739165</v>
      </c>
    </row>
    <row r="18" spans="1:22" x14ac:dyDescent="0.25">
      <c r="A18" s="21" t="s">
        <v>51</v>
      </c>
      <c r="B18" s="69" t="s">
        <v>89</v>
      </c>
      <c r="C18" s="61" t="s">
        <v>91</v>
      </c>
      <c r="D18" s="57" t="s">
        <v>90</v>
      </c>
      <c r="E18" s="58" t="s">
        <v>89</v>
      </c>
      <c r="F18" s="71" t="s">
        <v>89</v>
      </c>
      <c r="G18" s="47" t="s">
        <v>42</v>
      </c>
      <c r="H18" s="47" t="s">
        <v>42</v>
      </c>
      <c r="I18" s="47" t="s">
        <v>42</v>
      </c>
      <c r="J18" s="47" t="s">
        <v>42</v>
      </c>
      <c r="K18" s="47" t="s">
        <v>42</v>
      </c>
      <c r="L18" s="74" t="s">
        <v>42</v>
      </c>
      <c r="M18" s="74" t="s">
        <v>42</v>
      </c>
      <c r="N18" s="74" t="s">
        <v>42</v>
      </c>
      <c r="O18" s="74" t="s">
        <v>42</v>
      </c>
      <c r="P18" s="74" t="s">
        <v>42</v>
      </c>
      <c r="T18" s="37"/>
      <c r="U18" s="38"/>
      <c r="V18" s="125">
        <v>0</v>
      </c>
    </row>
    <row r="19" spans="1:22" x14ac:dyDescent="0.25">
      <c r="A19" s="21" t="s">
        <v>63</v>
      </c>
      <c r="B19" s="73" t="s">
        <v>7</v>
      </c>
      <c r="C19" s="56" t="s">
        <v>4</v>
      </c>
      <c r="D19" s="64">
        <v>0</v>
      </c>
      <c r="E19" s="64">
        <v>0</v>
      </c>
      <c r="F19" s="62">
        <v>0</v>
      </c>
      <c r="G19" s="42" t="s">
        <v>89</v>
      </c>
      <c r="H19" s="42" t="s">
        <v>89</v>
      </c>
      <c r="I19" s="105"/>
      <c r="J19" s="105"/>
      <c r="K19" s="105"/>
      <c r="L19" s="69" t="s">
        <v>89</v>
      </c>
      <c r="M19" s="69" t="s">
        <v>89</v>
      </c>
      <c r="N19" s="37"/>
      <c r="O19" s="37"/>
      <c r="P19" s="37"/>
      <c r="Q19" s="37"/>
      <c r="R19" s="37"/>
      <c r="S19" s="37"/>
      <c r="T19" s="37"/>
      <c r="U19" s="38"/>
      <c r="V19" s="125">
        <v>147817.35652173916</v>
      </c>
    </row>
    <row r="20" spans="1:22" ht="15.75" thickBot="1" x14ac:dyDescent="0.3">
      <c r="A20" s="21" t="s">
        <v>62</v>
      </c>
      <c r="B20" s="72" t="s">
        <v>4</v>
      </c>
      <c r="C20" s="64">
        <v>0</v>
      </c>
      <c r="D20" s="64">
        <v>0</v>
      </c>
      <c r="E20" s="64">
        <v>0</v>
      </c>
      <c r="F20" s="62">
        <v>0</v>
      </c>
      <c r="G20" s="104"/>
      <c r="H20" s="104"/>
      <c r="I20" s="104"/>
      <c r="J20" s="104"/>
      <c r="K20" s="104"/>
      <c r="L20" s="57" t="s">
        <v>90</v>
      </c>
      <c r="M20" s="37"/>
      <c r="N20" s="37"/>
      <c r="O20" s="37"/>
      <c r="P20" s="37"/>
      <c r="Q20" s="37"/>
      <c r="R20" s="37"/>
      <c r="S20" s="37"/>
      <c r="T20" s="37"/>
      <c r="U20" s="38"/>
      <c r="V20" s="125">
        <v>21270.92173913047</v>
      </c>
    </row>
    <row r="21" spans="1:22" x14ac:dyDescent="0.25">
      <c r="A21" s="21" t="s">
        <v>52</v>
      </c>
      <c r="B21" s="69" t="s">
        <v>89</v>
      </c>
      <c r="C21" s="57" t="s">
        <v>90</v>
      </c>
      <c r="D21" s="56" t="s">
        <v>4</v>
      </c>
      <c r="E21" s="56" t="s">
        <v>4</v>
      </c>
      <c r="F21" s="71" t="s">
        <v>89</v>
      </c>
      <c r="G21" s="50" t="s">
        <v>4</v>
      </c>
      <c r="H21" s="108"/>
      <c r="I21" s="108"/>
      <c r="J21" s="108"/>
      <c r="K21" s="108"/>
      <c r="L21" s="72" t="s">
        <v>4</v>
      </c>
      <c r="M21" s="37"/>
      <c r="N21" s="37"/>
      <c r="O21" s="37"/>
      <c r="P21" s="37"/>
      <c r="Q21" s="37"/>
      <c r="R21" s="37"/>
      <c r="S21" s="37"/>
      <c r="T21" s="37"/>
      <c r="U21" s="38"/>
      <c r="V21" s="125">
        <v>134480.45217391307</v>
      </c>
    </row>
    <row r="22" spans="1:22" x14ac:dyDescent="0.25">
      <c r="A22" s="21" t="s">
        <v>57</v>
      </c>
      <c r="B22" s="63" t="s">
        <v>90</v>
      </c>
      <c r="C22" s="57" t="s">
        <v>90</v>
      </c>
      <c r="D22" s="66" t="s">
        <v>1</v>
      </c>
      <c r="E22" s="64">
        <v>0</v>
      </c>
      <c r="F22" s="62">
        <v>0</v>
      </c>
      <c r="G22" s="104"/>
      <c r="H22" s="104"/>
      <c r="I22" s="104"/>
      <c r="J22" s="104"/>
      <c r="K22" s="104"/>
      <c r="L22" s="57" t="s">
        <v>90</v>
      </c>
      <c r="M22" s="37"/>
      <c r="N22" s="37"/>
      <c r="O22" s="37"/>
      <c r="P22" s="37"/>
      <c r="Q22" s="37"/>
      <c r="R22" s="37"/>
      <c r="S22" s="37"/>
      <c r="T22" s="37"/>
      <c r="U22" s="38"/>
      <c r="V22" s="125">
        <v>38645.217391304352</v>
      </c>
    </row>
    <row r="23" spans="1:22" x14ac:dyDescent="0.25">
      <c r="A23" s="21" t="s">
        <v>53</v>
      </c>
      <c r="B23" s="69" t="s">
        <v>89</v>
      </c>
      <c r="C23" s="57" t="s">
        <v>90</v>
      </c>
      <c r="D23" s="57" t="s">
        <v>90</v>
      </c>
      <c r="E23" s="56" t="s">
        <v>4</v>
      </c>
      <c r="F23" s="68" t="s">
        <v>1</v>
      </c>
      <c r="G23" s="119"/>
      <c r="H23" s="119"/>
      <c r="I23" s="119"/>
      <c r="J23" s="119"/>
      <c r="K23" s="119"/>
      <c r="L23" s="57" t="s">
        <v>90</v>
      </c>
      <c r="M23" s="37"/>
      <c r="N23" s="37"/>
      <c r="O23" s="37"/>
      <c r="P23" s="37"/>
      <c r="Q23" s="37"/>
      <c r="R23" s="37"/>
      <c r="S23" s="37"/>
      <c r="T23" s="37"/>
      <c r="U23" s="38"/>
      <c r="V23" s="125">
        <v>111140.86956521741</v>
      </c>
    </row>
    <row r="24" spans="1:22" x14ac:dyDescent="0.25">
      <c r="A24" s="21" t="s">
        <v>94</v>
      </c>
      <c r="B24" s="49" t="s">
        <v>4</v>
      </c>
      <c r="C24" s="96"/>
      <c r="D24" s="96"/>
      <c r="E24" s="96"/>
      <c r="F24" s="97"/>
      <c r="G24" s="42" t="s">
        <v>89</v>
      </c>
      <c r="H24" s="108"/>
      <c r="I24" s="108"/>
      <c r="J24" s="108"/>
      <c r="K24" s="108"/>
      <c r="L24" s="69" t="s">
        <v>89</v>
      </c>
      <c r="M24" s="37"/>
      <c r="N24" s="37"/>
      <c r="O24" s="37"/>
      <c r="P24" s="37"/>
      <c r="Q24" s="37"/>
      <c r="R24" s="37"/>
      <c r="S24" s="37"/>
      <c r="T24" s="37"/>
      <c r="U24" s="38"/>
      <c r="V24" s="125">
        <v>30085.113043478275</v>
      </c>
    </row>
    <row r="25" spans="1:22" x14ac:dyDescent="0.25">
      <c r="A25" s="21" t="s">
        <v>27</v>
      </c>
      <c r="B25" s="74" t="s">
        <v>42</v>
      </c>
      <c r="C25" s="61" t="s">
        <v>91</v>
      </c>
      <c r="D25" s="65" t="s">
        <v>42</v>
      </c>
      <c r="E25" s="61" t="s">
        <v>91</v>
      </c>
      <c r="F25" s="75" t="s">
        <v>91</v>
      </c>
      <c r="G25" s="47" t="s">
        <v>42</v>
      </c>
      <c r="H25" s="47" t="s">
        <v>42</v>
      </c>
      <c r="I25" s="47" t="s">
        <v>42</v>
      </c>
      <c r="J25" s="108"/>
      <c r="K25" s="108"/>
      <c r="L25" s="74" t="s">
        <v>42</v>
      </c>
      <c r="M25" s="74" t="s">
        <v>42</v>
      </c>
      <c r="N25" s="74" t="s">
        <v>42</v>
      </c>
      <c r="O25" s="74" t="s">
        <v>42</v>
      </c>
      <c r="S25" s="37"/>
      <c r="T25" s="37"/>
      <c r="U25" s="38"/>
      <c r="V25" s="125">
        <v>0</v>
      </c>
    </row>
    <row r="26" spans="1:22" x14ac:dyDescent="0.25">
      <c r="A26" s="21" t="s">
        <v>11</v>
      </c>
      <c r="B26" s="69" t="s">
        <v>89</v>
      </c>
      <c r="C26" s="64">
        <v>0</v>
      </c>
      <c r="D26" s="64">
        <v>0</v>
      </c>
      <c r="E26" s="64">
        <v>0</v>
      </c>
      <c r="F26" s="62">
        <v>0</v>
      </c>
      <c r="G26" s="104"/>
      <c r="H26" s="104"/>
      <c r="I26" s="104"/>
      <c r="J26" s="104"/>
      <c r="K26" s="104"/>
      <c r="L26" s="57" t="s">
        <v>90</v>
      </c>
      <c r="M26" s="37"/>
      <c r="N26" s="37"/>
      <c r="O26" s="37"/>
      <c r="P26" s="37"/>
      <c r="Q26" s="37"/>
      <c r="R26" s="37"/>
      <c r="S26" s="37"/>
      <c r="T26" s="37"/>
      <c r="U26" s="38"/>
      <c r="V26" s="125">
        <v>87801.286956521755</v>
      </c>
    </row>
    <row r="27" spans="1:22" x14ac:dyDescent="0.25">
      <c r="A27" s="21" t="s">
        <v>8</v>
      </c>
      <c r="B27" s="69" t="s">
        <v>89</v>
      </c>
      <c r="C27" s="56" t="s">
        <v>4</v>
      </c>
      <c r="D27" s="56" t="s">
        <v>4</v>
      </c>
      <c r="E27" s="67" t="s">
        <v>7</v>
      </c>
      <c r="F27" s="76">
        <v>0</v>
      </c>
      <c r="G27" s="109"/>
      <c r="H27" s="109"/>
      <c r="I27" s="109"/>
      <c r="J27" s="109"/>
      <c r="K27" s="109"/>
      <c r="L27" s="57" t="s">
        <v>90</v>
      </c>
      <c r="M27" s="37"/>
      <c r="N27" s="37"/>
      <c r="O27" s="37"/>
      <c r="P27" s="37"/>
      <c r="Q27" s="37"/>
      <c r="R27" s="37"/>
      <c r="S27" s="37"/>
      <c r="T27" s="37"/>
      <c r="U27" s="38"/>
      <c r="V27" s="125">
        <v>81132.834782608712</v>
      </c>
    </row>
    <row r="28" spans="1:22" x14ac:dyDescent="0.25">
      <c r="A28" s="21" t="s">
        <v>23</v>
      </c>
      <c r="B28" s="55" t="s">
        <v>1</v>
      </c>
      <c r="C28" s="58" t="s">
        <v>89</v>
      </c>
      <c r="D28" s="67" t="s">
        <v>7</v>
      </c>
      <c r="E28" s="64">
        <v>0</v>
      </c>
      <c r="F28" s="62">
        <v>0</v>
      </c>
      <c r="G28" s="47" t="s">
        <v>42</v>
      </c>
      <c r="H28" s="45" t="s">
        <v>1</v>
      </c>
      <c r="I28" s="105"/>
      <c r="J28" s="105"/>
      <c r="K28" s="105"/>
      <c r="L28" s="74" t="s">
        <v>42</v>
      </c>
      <c r="M28" s="55" t="s">
        <v>1</v>
      </c>
      <c r="N28" s="37"/>
      <c r="O28" s="37"/>
      <c r="P28" s="37"/>
      <c r="Q28" s="37"/>
      <c r="R28" s="37"/>
      <c r="S28" s="37"/>
      <c r="T28" s="37"/>
      <c r="U28" s="38"/>
      <c r="V28" s="125">
        <v>0</v>
      </c>
    </row>
    <row r="29" spans="1:22" x14ac:dyDescent="0.25">
      <c r="A29" s="21" t="s">
        <v>44</v>
      </c>
      <c r="B29" s="63" t="s">
        <v>90</v>
      </c>
      <c r="C29" s="66" t="s">
        <v>1</v>
      </c>
      <c r="D29" s="56" t="s">
        <v>4</v>
      </c>
      <c r="E29" s="64">
        <v>0</v>
      </c>
      <c r="F29" s="62">
        <v>0</v>
      </c>
      <c r="G29" s="104"/>
      <c r="H29" s="104"/>
      <c r="I29" s="104"/>
      <c r="J29" s="104"/>
      <c r="K29" s="104"/>
      <c r="L29" s="57" t="s">
        <v>90</v>
      </c>
      <c r="M29" s="37"/>
      <c r="N29" s="37"/>
      <c r="O29" s="37"/>
      <c r="P29" s="37"/>
      <c r="Q29" s="37"/>
      <c r="R29" s="37"/>
      <c r="S29" s="37"/>
      <c r="T29" s="37"/>
      <c r="U29" s="38"/>
      <c r="V29" s="125">
        <v>62238.886956521746</v>
      </c>
    </row>
    <row r="30" spans="1:22" x14ac:dyDescent="0.25">
      <c r="A30" s="21" t="s">
        <v>56</v>
      </c>
      <c r="B30" s="72" t="s">
        <v>4</v>
      </c>
      <c r="C30" s="66" t="s">
        <v>1</v>
      </c>
      <c r="D30" s="58" t="s">
        <v>89</v>
      </c>
      <c r="E30" s="57" t="s">
        <v>90</v>
      </c>
      <c r="F30" s="59" t="s">
        <v>7</v>
      </c>
      <c r="G30" s="120"/>
      <c r="H30" s="120"/>
      <c r="I30" s="120"/>
      <c r="J30" s="120"/>
      <c r="K30" s="120"/>
      <c r="M30" s="37"/>
      <c r="N30" s="37"/>
      <c r="O30" s="37"/>
      <c r="P30" s="37"/>
      <c r="Q30" s="37"/>
      <c r="R30" s="37"/>
      <c r="S30" s="37"/>
      <c r="T30" s="37"/>
      <c r="U30" s="38"/>
      <c r="V30" s="125">
        <v>32230.852173913045</v>
      </c>
    </row>
    <row r="31" spans="1:22" x14ac:dyDescent="0.25">
      <c r="A31" s="21" t="s">
        <v>59</v>
      </c>
      <c r="B31" s="77">
        <v>0</v>
      </c>
      <c r="C31" s="64">
        <v>0</v>
      </c>
      <c r="D31" s="64">
        <v>0</v>
      </c>
      <c r="E31" s="64">
        <v>0</v>
      </c>
      <c r="F31" s="62">
        <v>0</v>
      </c>
      <c r="G31" s="105"/>
      <c r="H31" s="105"/>
      <c r="I31" s="105"/>
      <c r="J31" s="105"/>
      <c r="K31" s="105"/>
      <c r="L31" s="36"/>
      <c r="M31" s="37"/>
      <c r="N31" s="37"/>
      <c r="O31" s="37"/>
      <c r="P31" s="37"/>
      <c r="Q31" s="37"/>
      <c r="R31" s="37"/>
      <c r="S31" s="37"/>
      <c r="T31" s="37"/>
      <c r="U31" s="38"/>
      <c r="V31" s="125">
        <v>0</v>
      </c>
    </row>
    <row r="32" spans="1:22" ht="15.75" thickBot="1" x14ac:dyDescent="0.3">
      <c r="A32" s="23" t="s">
        <v>10</v>
      </c>
      <c r="B32" s="78">
        <v>0</v>
      </c>
      <c r="C32" s="79">
        <v>0</v>
      </c>
      <c r="D32" s="79">
        <v>0</v>
      </c>
      <c r="E32" s="79">
        <v>0</v>
      </c>
      <c r="F32" s="80">
        <v>0</v>
      </c>
      <c r="G32" s="110"/>
      <c r="H32" s="110"/>
      <c r="I32" s="110"/>
      <c r="J32" s="110"/>
      <c r="K32" s="110"/>
      <c r="L32" s="39"/>
      <c r="M32" s="40"/>
      <c r="N32" s="40"/>
      <c r="O32" s="40"/>
      <c r="P32" s="40"/>
      <c r="Q32" s="40"/>
      <c r="R32" s="40"/>
      <c r="S32" s="40"/>
      <c r="T32" s="40"/>
      <c r="U32" s="41"/>
      <c r="V32" s="125">
        <v>0</v>
      </c>
    </row>
    <row r="34" spans="1:22" ht="15.75" thickBot="1" x14ac:dyDescent="0.3"/>
    <row r="35" spans="1:22" ht="15.75" thickBot="1" x14ac:dyDescent="0.3">
      <c r="A35" s="13" t="s">
        <v>85</v>
      </c>
      <c r="B35" s="7" t="s">
        <v>86</v>
      </c>
      <c r="C35" s="7" t="s">
        <v>87</v>
      </c>
      <c r="D35" s="7" t="s">
        <v>88</v>
      </c>
      <c r="E35" s="84" t="s">
        <v>92</v>
      </c>
      <c r="F35" s="1"/>
      <c r="G35" s="111" t="s">
        <v>123</v>
      </c>
      <c r="H35" s="111" t="s">
        <v>126</v>
      </c>
      <c r="I35" s="111" t="s">
        <v>127</v>
      </c>
      <c r="J35" s="111"/>
      <c r="K35" s="111"/>
      <c r="L35" s="92" t="s">
        <v>93</v>
      </c>
      <c r="M35" s="93" t="s">
        <v>93</v>
      </c>
      <c r="N35" s="93" t="s">
        <v>93</v>
      </c>
      <c r="O35" s="93" t="s">
        <v>93</v>
      </c>
      <c r="P35" s="93" t="s">
        <v>93</v>
      </c>
      <c r="Q35" s="93" t="s">
        <v>93</v>
      </c>
      <c r="R35" s="93" t="s">
        <v>93</v>
      </c>
      <c r="S35" s="93" t="s">
        <v>93</v>
      </c>
      <c r="T35" s="93" t="s">
        <v>93</v>
      </c>
      <c r="U35" s="94" t="s">
        <v>93</v>
      </c>
      <c r="V35" s="124"/>
    </row>
    <row r="36" spans="1:22" x14ac:dyDescent="0.25">
      <c r="A36" s="42" t="s">
        <v>89</v>
      </c>
      <c r="B36" s="7">
        <v>10</v>
      </c>
      <c r="C36" s="7">
        <f t="shared" ref="C36:C42" si="0">COUNTIF($AS$3:$BB$32,A36)</f>
        <v>0</v>
      </c>
      <c r="D36" s="7">
        <f>B36-C36</f>
        <v>10</v>
      </c>
      <c r="E36" s="84"/>
      <c r="F36" s="85" t="s">
        <v>89</v>
      </c>
      <c r="G36" s="112">
        <f t="shared" ref="G36:G42" si="1">COUNTIF($AN$3:$AR$32,A36)</f>
        <v>0</v>
      </c>
      <c r="H36" s="112">
        <f>B36</f>
        <v>10</v>
      </c>
      <c r="I36" s="7">
        <f>H36-G36</f>
        <v>10</v>
      </c>
      <c r="J36" s="112"/>
      <c r="K36" s="112"/>
      <c r="L36" s="24">
        <v>9</v>
      </c>
      <c r="M36" s="25">
        <v>1</v>
      </c>
      <c r="N36" s="25">
        <v>0</v>
      </c>
      <c r="O36" s="25">
        <v>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124"/>
    </row>
    <row r="37" spans="1:22" x14ac:dyDescent="0.25">
      <c r="A37" s="43" t="s">
        <v>90</v>
      </c>
      <c r="B37" s="7">
        <v>26</v>
      </c>
      <c r="C37" s="7">
        <f t="shared" si="0"/>
        <v>0</v>
      </c>
      <c r="D37" s="7">
        <f t="shared" ref="D37:D42" si="2">B37-C37</f>
        <v>26</v>
      </c>
      <c r="E37" s="84">
        <v>15</v>
      </c>
      <c r="F37" s="86" t="s">
        <v>90</v>
      </c>
      <c r="G37" s="113">
        <f t="shared" si="1"/>
        <v>0</v>
      </c>
      <c r="H37" s="113">
        <f>B37</f>
        <v>26</v>
      </c>
      <c r="I37" s="7">
        <f t="shared" ref="I37:I42" si="3">H37-G37</f>
        <v>26</v>
      </c>
      <c r="J37" s="113"/>
      <c r="K37" s="113"/>
      <c r="L37" s="26">
        <v>3</v>
      </c>
      <c r="M37" s="7">
        <v>6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124"/>
    </row>
    <row r="38" spans="1:22" x14ac:dyDescent="0.25">
      <c r="A38" s="44" t="s">
        <v>4</v>
      </c>
      <c r="B38" s="7">
        <v>6</v>
      </c>
      <c r="C38" s="7">
        <f t="shared" si="0"/>
        <v>0</v>
      </c>
      <c r="D38" s="7">
        <f t="shared" si="2"/>
        <v>6</v>
      </c>
      <c r="E38" s="84">
        <v>19</v>
      </c>
      <c r="F38" s="87" t="s">
        <v>4</v>
      </c>
      <c r="G38" s="114">
        <f t="shared" si="1"/>
        <v>0</v>
      </c>
      <c r="H38" s="114">
        <f>B38</f>
        <v>6</v>
      </c>
      <c r="I38" s="7">
        <f t="shared" si="3"/>
        <v>6</v>
      </c>
      <c r="J38" s="114"/>
      <c r="K38" s="114"/>
      <c r="L38" s="26">
        <v>6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124"/>
    </row>
    <row r="39" spans="1:22" x14ac:dyDescent="0.25">
      <c r="A39" s="45" t="s">
        <v>1</v>
      </c>
      <c r="B39" s="7">
        <v>9</v>
      </c>
      <c r="C39" s="7">
        <f t="shared" si="0"/>
        <v>0</v>
      </c>
      <c r="D39" s="7">
        <f t="shared" si="2"/>
        <v>9</v>
      </c>
      <c r="E39" s="84">
        <v>15</v>
      </c>
      <c r="F39" s="88" t="s">
        <v>1</v>
      </c>
      <c r="G39" s="115">
        <f t="shared" si="1"/>
        <v>0</v>
      </c>
      <c r="H39" s="115">
        <f>B39</f>
        <v>9</v>
      </c>
      <c r="I39" s="7">
        <f t="shared" si="3"/>
        <v>9</v>
      </c>
      <c r="J39" s="115"/>
      <c r="K39" s="115"/>
      <c r="L39" s="26">
        <v>6</v>
      </c>
      <c r="M39" s="7">
        <v>3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124"/>
    </row>
    <row r="40" spans="1:22" x14ac:dyDescent="0.25">
      <c r="A40" s="46" t="s">
        <v>91</v>
      </c>
      <c r="B40" s="7">
        <v>10</v>
      </c>
      <c r="C40" s="7">
        <f t="shared" si="0"/>
        <v>0</v>
      </c>
      <c r="D40" s="7">
        <f t="shared" si="2"/>
        <v>10</v>
      </c>
      <c r="E40" s="84">
        <v>8</v>
      </c>
      <c r="F40" s="89" t="s">
        <v>91</v>
      </c>
      <c r="G40" s="116">
        <f t="shared" si="1"/>
        <v>0</v>
      </c>
      <c r="H40" s="116"/>
      <c r="I40" s="7">
        <f t="shared" si="3"/>
        <v>0</v>
      </c>
      <c r="J40" s="116"/>
      <c r="K40" s="116"/>
      <c r="L40" s="26">
        <v>1</v>
      </c>
      <c r="M40" s="7">
        <v>5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124"/>
    </row>
    <row r="41" spans="1:22" x14ac:dyDescent="0.25">
      <c r="A41" s="47" t="s">
        <v>42</v>
      </c>
      <c r="B41" s="7">
        <v>20</v>
      </c>
      <c r="C41" s="7">
        <f t="shared" si="0"/>
        <v>0</v>
      </c>
      <c r="D41" s="7">
        <f t="shared" si="2"/>
        <v>20</v>
      </c>
      <c r="E41" s="84">
        <v>3</v>
      </c>
      <c r="F41" s="90" t="s">
        <v>42</v>
      </c>
      <c r="G41" s="117">
        <f t="shared" si="1"/>
        <v>0</v>
      </c>
      <c r="H41" s="117">
        <f>B41</f>
        <v>20</v>
      </c>
      <c r="I41" s="7">
        <f t="shared" si="3"/>
        <v>20</v>
      </c>
      <c r="J41" s="117"/>
      <c r="K41" s="117"/>
      <c r="L41" s="26">
        <v>1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124"/>
    </row>
    <row r="42" spans="1:22" ht="15.75" thickBot="1" x14ac:dyDescent="0.3">
      <c r="A42" s="48" t="s">
        <v>7</v>
      </c>
      <c r="B42" s="7">
        <v>4</v>
      </c>
      <c r="C42" s="7">
        <f t="shared" si="0"/>
        <v>0</v>
      </c>
      <c r="D42" s="7">
        <f t="shared" si="2"/>
        <v>4</v>
      </c>
      <c r="E42" s="84">
        <v>8</v>
      </c>
      <c r="F42" s="91" t="s">
        <v>7</v>
      </c>
      <c r="G42" s="118">
        <f t="shared" si="1"/>
        <v>0</v>
      </c>
      <c r="H42" s="118"/>
      <c r="I42" s="7">
        <f t="shared" si="3"/>
        <v>0</v>
      </c>
      <c r="J42" s="118"/>
      <c r="K42" s="118"/>
      <c r="L42" s="26">
        <v>1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124"/>
    </row>
  </sheetData>
  <mergeCells count="1">
    <mergeCell ref="G1:J1"/>
  </mergeCells>
  <conditionalFormatting sqref="D36:D42">
    <cfRule type="cellIs" dxfId="5" priority="4" operator="equal">
      <formula>0</formula>
    </cfRule>
    <cfRule type="cellIs" dxfId="4" priority="5" operator="lessThan">
      <formula>0</formula>
    </cfRule>
    <cfRule type="cellIs" dxfId="3" priority="6" operator="greaterThan">
      <formula>0</formula>
    </cfRule>
  </conditionalFormatting>
  <conditionalFormatting sqref="I36:I42">
    <cfRule type="cellIs" dxfId="2" priority="1" operator="equal">
      <formula>0</formula>
    </cfRule>
    <cfRule type="cellIs" dxfId="1" priority="2" operator="lessThan">
      <formula>0</formula>
    </cfRule>
    <cfRule type="cellIs" dxfId="0" priority="3" operator="greaterThan">
      <formula>0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10</vt:i4>
      </vt:variant>
    </vt:vector>
  </HeadingPairs>
  <TitlesOfParts>
    <vt:vector size="18" baseType="lpstr">
      <vt:lpstr>body</vt:lpstr>
      <vt:lpstr>rozdělení</vt:lpstr>
      <vt:lpstr>List3</vt:lpstr>
      <vt:lpstr>rozdělení finanční</vt:lpstr>
      <vt:lpstr>List5</vt:lpstr>
      <vt:lpstr>List1</vt:lpstr>
      <vt:lpstr>List4</vt:lpstr>
      <vt:lpstr>List2</vt:lpstr>
      <vt:lpstr>iQFoil_b</vt:lpstr>
      <vt:lpstr>iQFoil_c</vt:lpstr>
      <vt:lpstr>Laser</vt:lpstr>
      <vt:lpstr>Q_trénink</vt:lpstr>
      <vt:lpstr>Q_závodní</vt:lpstr>
      <vt:lpstr>RD</vt:lpstr>
      <vt:lpstr>RDJ</vt:lpstr>
      <vt:lpstr>RS_Feva</vt:lpstr>
      <vt:lpstr>SCM</vt:lpstr>
      <vt:lpstr>SPS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Lambl Vojtěch (ANW-SPO)</dc:creator>
  <cp:lastModifiedBy>Lambl Vojtěch (UNP-SPO)</cp:lastModifiedBy>
  <dcterms:created xsi:type="dcterms:W3CDTF">2020-10-06T08:34:10Z</dcterms:created>
  <dcterms:modified xsi:type="dcterms:W3CDTF">2020-12-22T08:40:41Z</dcterms:modified>
</cp:coreProperties>
</file>